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drawings/drawing2.xml" ContentType="application/vnd.openxmlformats-officedocument.drawing+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https://d.docs.live.net/fa77d33fea66a78b/Desktop/1 PAIE 2025/LIVRE 2025/FICHIERS SUR LE SITE/"/>
    </mc:Choice>
  </mc:AlternateContent>
  <xr:revisionPtr revIDLastSave="0" documentId="8_{D1A663AE-A2A8-4245-977F-DEBC1467D26A}" xr6:coauthVersionLast="47" xr6:coauthVersionMax="47" xr10:uidLastSave="{00000000-0000-0000-0000-000000000000}"/>
  <bookViews>
    <workbookView xWindow="-108" yWindow="-108" windowWidth="23256" windowHeight="12456" firstSheet="3" activeTab="6" xr2:uid="{00000000-000D-0000-FFFF-FFFF00000000}"/>
  </bookViews>
  <sheets>
    <sheet name="CONTEXTE " sheetId="89" r:id="rId1"/>
    <sheet name="EXPL FEUILLE TAUX NEUTRE" sheetId="87" r:id="rId2"/>
    <sheet name="TAUX NEUTRE JANVIER  " sheetId="24" r:id="rId3"/>
    <sheet name="TAUX NEUTRE MAI " sheetId="85" r:id="rId4"/>
    <sheet name="TAUX NEUTRE 2025" sheetId="88" r:id="rId5"/>
    <sheet name="MASQUE DE SAISIE " sheetId="55" r:id="rId6"/>
    <sheet name="BP FORMAT JUILLET 2023" sheetId="51" r:id="rId7"/>
    <sheet name="FEUILLE DE CONTROLE " sheetId="67" r:id="rId8"/>
    <sheet name="BP VERSION JANVIER 2023" sheetId="31" r:id="rId9"/>
    <sheet name="HEURES SUPPLEMENTAIRES " sheetId="33" r:id="rId10"/>
    <sheet name="TABLE DES TAUX 2025 " sheetId="50" r:id="rId11"/>
    <sheet name="Red Gen de Cot BP Version Janv " sheetId="91" r:id="rId12"/>
    <sheet name="Red Gen de CotBP Format Juillet" sheetId="52" r:id="rId13"/>
    <sheet name="TRAME DU BP " sheetId="90" r:id="rId14"/>
  </sheets>
  <externalReferences>
    <externalReference r:id="rId15"/>
    <externalReference r:id="rId16"/>
  </externalReferences>
  <definedNames>
    <definedName name="TABLE2019">#REF!</definedName>
    <definedName name="TABLE201NN">#REF!</definedName>
    <definedName name="TABLE20NN">#REF!</definedName>
    <definedName name="TABLETAUX">#REF!</definedName>
    <definedName name="TABLETAUX1">'[2]TABLE DES TAUX 2025 '!$A$1:$D$7</definedName>
    <definedName name="TAUX2015">#REF!</definedName>
    <definedName name="TAUX2023">'TABLE DES TAUX 2025 '!$B$1:$E$58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0" i="91" l="1"/>
  <c r="B16" i="91" s="1"/>
  <c r="E9" i="91"/>
  <c r="C16" i="91" s="1"/>
  <c r="E8" i="91"/>
  <c r="D16" i="91" s="1"/>
  <c r="E7" i="91"/>
  <c r="E6" i="91"/>
  <c r="E5" i="91" s="1"/>
  <c r="J15" i="88"/>
  <c r="H11" i="88"/>
  <c r="C7" i="88"/>
  <c r="E128" i="90"/>
  <c r="E116" i="90"/>
  <c r="D110" i="90"/>
  <c r="C106" i="90"/>
  <c r="D106" i="90" s="1"/>
  <c r="D101" i="90"/>
  <c r="C97" i="90"/>
  <c r="D97" i="90" s="1"/>
  <c r="B91" i="90"/>
  <c r="B89" i="90"/>
  <c r="B88" i="90"/>
  <c r="F41" i="90"/>
  <c r="I41" i="90" s="1"/>
  <c r="E41" i="90"/>
  <c r="G41" i="90" s="1"/>
  <c r="I40" i="90"/>
  <c r="G40" i="90"/>
  <c r="F39" i="90"/>
  <c r="E39" i="90"/>
  <c r="I38" i="90"/>
  <c r="G38" i="90"/>
  <c r="G37" i="90"/>
  <c r="F37" i="90"/>
  <c r="I37" i="90" s="1"/>
  <c r="F36" i="90"/>
  <c r="C36" i="90"/>
  <c r="I36" i="90" s="1"/>
  <c r="J32" i="90"/>
  <c r="D96" i="90" s="1"/>
  <c r="D98" i="90" s="1"/>
  <c r="I20" i="90"/>
  <c r="G20" i="90"/>
  <c r="I12" i="90"/>
  <c r="E16" i="91" l="1"/>
  <c r="F16" i="91" s="1"/>
  <c r="G16" i="91" s="1"/>
  <c r="E4" i="91"/>
  <c r="D105" i="90"/>
  <c r="E108" i="90" s="1"/>
  <c r="C39" i="90"/>
  <c r="G36" i="90"/>
  <c r="B90" i="90"/>
  <c r="H16" i="91" l="1"/>
  <c r="I16" i="91" s="1"/>
  <c r="J16" i="91" s="1"/>
  <c r="G71" i="31" s="1"/>
  <c r="I39" i="90"/>
  <c r="G39" i="90"/>
  <c r="C8" i="88" l="1"/>
  <c r="C9" i="88"/>
  <c r="C10" i="88"/>
  <c r="B11" i="88" s="1"/>
  <c r="C11" i="88"/>
  <c r="B12" i="88" s="1"/>
  <c r="C12" i="88"/>
  <c r="B13" i="88" s="1"/>
  <c r="C13" i="88"/>
  <c r="B14" i="88" s="1"/>
  <c r="C14" i="88"/>
  <c r="B15" i="88" s="1"/>
  <c r="C15" i="88"/>
  <c r="B16" i="88" s="1"/>
  <c r="C16" i="88"/>
  <c r="C17" i="88"/>
  <c r="B18" i="88" s="1"/>
  <c r="C18" i="88"/>
  <c r="B19" i="88" s="1"/>
  <c r="C19" i="88"/>
  <c r="B20" i="88" s="1"/>
  <c r="E20" i="88" s="1"/>
  <c r="C20" i="88"/>
  <c r="B21" i="88" s="1"/>
  <c r="C21" i="88"/>
  <c r="B22" i="88" s="1"/>
  <c r="C22" i="88"/>
  <c r="B23" i="88" s="1"/>
  <c r="C23" i="88"/>
  <c r="B24" i="88" s="1"/>
  <c r="C24" i="88"/>
  <c r="C25" i="88"/>
  <c r="B26" i="88" s="1"/>
  <c r="E26" i="88" s="1"/>
  <c r="C26" i="88"/>
  <c r="B8" i="88"/>
  <c r="E8" i="88" s="1"/>
  <c r="B50" i="88"/>
  <c r="E50" i="88" s="1"/>
  <c r="B49" i="88"/>
  <c r="E49" i="88" s="1"/>
  <c r="E48" i="88"/>
  <c r="B48" i="88"/>
  <c r="B47" i="88"/>
  <c r="E47" i="88" s="1"/>
  <c r="E46" i="88"/>
  <c r="B46" i="88"/>
  <c r="E45" i="88"/>
  <c r="B45" i="88"/>
  <c r="E44" i="88"/>
  <c r="B44" i="88"/>
  <c r="B43" i="88"/>
  <c r="E43" i="88" s="1"/>
  <c r="E42" i="88"/>
  <c r="B42" i="88"/>
  <c r="E41" i="88"/>
  <c r="B41" i="88"/>
  <c r="E40" i="88"/>
  <c r="B40" i="88"/>
  <c r="B39" i="88"/>
  <c r="E39" i="88" s="1"/>
  <c r="E38" i="88"/>
  <c r="B38" i="88"/>
  <c r="E37" i="88"/>
  <c r="B37" i="88"/>
  <c r="E36" i="88"/>
  <c r="B36" i="88"/>
  <c r="B35" i="88"/>
  <c r="E35" i="88" s="1"/>
  <c r="E34" i="88"/>
  <c r="B34" i="88"/>
  <c r="E33" i="88"/>
  <c r="B33" i="88"/>
  <c r="E32" i="88"/>
  <c r="B32" i="88"/>
  <c r="E31" i="88"/>
  <c r="B25" i="88"/>
  <c r="B17" i="88"/>
  <c r="B10" i="88"/>
  <c r="B9" i="88"/>
  <c r="B26" i="85"/>
  <c r="B25" i="85"/>
  <c r="B24" i="85"/>
  <c r="B23" i="85"/>
  <c r="B22" i="85"/>
  <c r="B21" i="85"/>
  <c r="B20" i="85"/>
  <c r="E20" i="85" s="1"/>
  <c r="B19" i="85"/>
  <c r="E19" i="85" s="1"/>
  <c r="B18" i="85"/>
  <c r="B17" i="85"/>
  <c r="B16" i="85"/>
  <c r="B15" i="85"/>
  <c r="B14" i="85"/>
  <c r="B13" i="85"/>
  <c r="B12" i="85"/>
  <c r="B11" i="85"/>
  <c r="B10" i="85"/>
  <c r="B9" i="85"/>
  <c r="B8" i="85"/>
  <c r="E25" i="85"/>
  <c r="E24" i="85"/>
  <c r="E23" i="85"/>
  <c r="E22" i="85"/>
  <c r="E21" i="85"/>
  <c r="E16" i="85"/>
  <c r="E15" i="85"/>
  <c r="E14" i="85"/>
  <c r="E13" i="85"/>
  <c r="E12" i="85"/>
  <c r="E11" i="85"/>
  <c r="E8" i="85"/>
  <c r="E50" i="85"/>
  <c r="E49" i="85"/>
  <c r="E48" i="85"/>
  <c r="E47" i="85"/>
  <c r="E46" i="85"/>
  <c r="E45" i="85"/>
  <c r="E44" i="85"/>
  <c r="E43" i="85"/>
  <c r="E42" i="85"/>
  <c r="E41" i="85"/>
  <c r="E40" i="85"/>
  <c r="E39" i="85"/>
  <c r="E38" i="85"/>
  <c r="E37" i="85"/>
  <c r="E36" i="85"/>
  <c r="E35" i="85"/>
  <c r="E34" i="85"/>
  <c r="E33" i="85"/>
  <c r="E32" i="85"/>
  <c r="E31" i="85"/>
  <c r="E26" i="85"/>
  <c r="E18" i="85"/>
  <c r="E17" i="85"/>
  <c r="E10" i="85"/>
  <c r="E9" i="85"/>
  <c r="E7" i="85"/>
  <c r="A145" i="33"/>
  <c r="E9" i="52"/>
  <c r="E49" i="51"/>
  <c r="D125" i="51"/>
  <c r="E47" i="31"/>
  <c r="D111" i="31"/>
  <c r="C9" i="31"/>
  <c r="C9" i="51"/>
  <c r="E11" i="88" l="1"/>
  <c r="E18" i="88"/>
  <c r="E15" i="88"/>
  <c r="E13" i="88"/>
  <c r="E23" i="88"/>
  <c r="E51" i="88"/>
  <c r="E21" i="88"/>
  <c r="E9" i="88"/>
  <c r="E16" i="88"/>
  <c r="E24" i="88"/>
  <c r="E14" i="88"/>
  <c r="E19" i="88"/>
  <c r="E7" i="88"/>
  <c r="E12" i="88"/>
  <c r="E22" i="88"/>
  <c r="E10" i="88"/>
  <c r="E17" i="88"/>
  <c r="E25" i="88"/>
  <c r="E51" i="85"/>
  <c r="E27" i="85"/>
  <c r="H12" i="85" s="1"/>
  <c r="E27" i="88" l="1"/>
  <c r="H12" i="88" s="1"/>
  <c r="F89" i="51" s="1"/>
  <c r="F83" i="31" l="1"/>
  <c r="G13" i="31" l="1"/>
  <c r="G13" i="51"/>
  <c r="E76" i="51" l="1"/>
  <c r="E43" i="31"/>
  <c r="E41" i="31"/>
  <c r="B50" i="24"/>
  <c r="E50" i="24" s="1"/>
  <c r="B49" i="24"/>
  <c r="E49" i="24" s="1"/>
  <c r="B48" i="24"/>
  <c r="E48" i="24" s="1"/>
  <c r="E47" i="24"/>
  <c r="B47" i="24"/>
  <c r="E46" i="24"/>
  <c r="B46" i="24"/>
  <c r="B45" i="24"/>
  <c r="E45" i="24" s="1"/>
  <c r="B44" i="24"/>
  <c r="E44" i="24" s="1"/>
  <c r="E43" i="24"/>
  <c r="B43" i="24"/>
  <c r="E42" i="24"/>
  <c r="B42" i="24"/>
  <c r="B41" i="24"/>
  <c r="E41" i="24" s="1"/>
  <c r="B40" i="24"/>
  <c r="E40" i="24" s="1"/>
  <c r="E39" i="24"/>
  <c r="B39" i="24"/>
  <c r="E38" i="24"/>
  <c r="B38" i="24"/>
  <c r="B37" i="24"/>
  <c r="E37" i="24" s="1"/>
  <c r="B36" i="24"/>
  <c r="E36" i="24" s="1"/>
  <c r="E35" i="24"/>
  <c r="B35" i="24"/>
  <c r="E34" i="24"/>
  <c r="B34" i="24"/>
  <c r="B33" i="24"/>
  <c r="E33" i="24" s="1"/>
  <c r="B32" i="24"/>
  <c r="E32" i="24" s="1"/>
  <c r="E31" i="24"/>
  <c r="B26" i="24"/>
  <c r="B25" i="24"/>
  <c r="B24" i="24"/>
  <c r="B23" i="24"/>
  <c r="B22" i="24"/>
  <c r="B21" i="24"/>
  <c r="B20" i="24"/>
  <c r="B19" i="24"/>
  <c r="B18" i="24"/>
  <c r="B17" i="24"/>
  <c r="B16" i="24"/>
  <c r="B15" i="24"/>
  <c r="B14" i="24"/>
  <c r="B13" i="24"/>
  <c r="B12" i="24"/>
  <c r="B11" i="24"/>
  <c r="B10" i="24"/>
  <c r="B9" i="24"/>
  <c r="B8" i="24"/>
  <c r="E51" i="24" l="1"/>
  <c r="I84" i="50" l="1"/>
  <c r="F79" i="50"/>
  <c r="E79" i="50"/>
  <c r="F73" i="50"/>
  <c r="E73" i="50"/>
  <c r="D73" i="50"/>
  <c r="C73" i="50"/>
  <c r="G60" i="50"/>
  <c r="D60" i="50"/>
  <c r="G59" i="50"/>
  <c r="D59" i="50"/>
  <c r="D58" i="50"/>
  <c r="D57" i="50"/>
  <c r="G21" i="31" l="1"/>
  <c r="J20" i="31"/>
  <c r="J19" i="31"/>
  <c r="J18" i="31"/>
  <c r="J13" i="31"/>
  <c r="I21" i="31" s="1"/>
  <c r="G47" i="51"/>
  <c r="G48" i="51"/>
  <c r="F81" i="51"/>
  <c r="G80" i="51"/>
  <c r="F80" i="51"/>
  <c r="I13" i="31" l="1"/>
  <c r="J21" i="31"/>
  <c r="G13" i="67" l="1"/>
  <c r="D76" i="51" l="1"/>
  <c r="E75" i="51"/>
  <c r="D75" i="51"/>
  <c r="E43" i="51"/>
  <c r="D43" i="51"/>
  <c r="E40" i="51"/>
  <c r="D40" i="51"/>
  <c r="D41" i="31"/>
  <c r="E38" i="31"/>
  <c r="D38" i="31"/>
  <c r="E40" i="31"/>
  <c r="D40" i="31"/>
  <c r="E39" i="31"/>
  <c r="D39" i="31"/>
  <c r="G21" i="51"/>
  <c r="C33" i="31" l="1"/>
  <c r="E89" i="33"/>
  <c r="E88" i="33"/>
  <c r="D10" i="51"/>
  <c r="D10" i="31"/>
  <c r="E42" i="31"/>
  <c r="D43" i="31"/>
  <c r="E78" i="51"/>
  <c r="D78" i="51"/>
  <c r="G11" i="31"/>
  <c r="J10" i="31"/>
  <c r="H10" i="31"/>
  <c r="E61" i="31" s="1"/>
  <c r="J9" i="31"/>
  <c r="I9" i="31"/>
  <c r="B9" i="31"/>
  <c r="G8" i="31"/>
  <c r="G7" i="31"/>
  <c r="B7" i="31"/>
  <c r="G6" i="31"/>
  <c r="B6" i="31"/>
  <c r="G5" i="31"/>
  <c r="G4" i="31"/>
  <c r="B4" i="31"/>
  <c r="G3" i="31"/>
  <c r="B3" i="31"/>
  <c r="F75" i="31"/>
  <c r="G11" i="67" s="1"/>
  <c r="G74" i="31"/>
  <c r="F74" i="31"/>
  <c r="G10" i="67" s="1"/>
  <c r="C33" i="51"/>
  <c r="C125" i="33" s="1"/>
  <c r="D129" i="33" s="1"/>
  <c r="J13" i="51"/>
  <c r="G11" i="51"/>
  <c r="J10" i="51"/>
  <c r="H10" i="51"/>
  <c r="J9" i="51"/>
  <c r="I9" i="51"/>
  <c r="G7" i="51"/>
  <c r="G6" i="51"/>
  <c r="G5" i="51"/>
  <c r="G8" i="51"/>
  <c r="G4" i="51"/>
  <c r="G3" i="51"/>
  <c r="E118" i="55"/>
  <c r="F118" i="55" s="1"/>
  <c r="E117" i="55"/>
  <c r="F117" i="55" s="1"/>
  <c r="E61" i="51" l="1"/>
  <c r="E6" i="52"/>
  <c r="I21" i="51"/>
  <c r="I13" i="51"/>
  <c r="J33" i="31"/>
  <c r="J20" i="51"/>
  <c r="J19" i="51"/>
  <c r="J18" i="51"/>
  <c r="E5" i="52" l="1"/>
  <c r="E4" i="52"/>
  <c r="C38" i="31"/>
  <c r="G36" i="67"/>
  <c r="G17" i="67"/>
  <c r="G8" i="67"/>
  <c r="C43" i="31"/>
  <c r="G43" i="31" s="1"/>
  <c r="C114" i="31" s="1"/>
  <c r="C42" i="31"/>
  <c r="J21" i="51"/>
  <c r="J33" i="51" s="1"/>
  <c r="E10" i="52" s="1"/>
  <c r="B16" i="52" s="1"/>
  <c r="C43" i="51" l="1"/>
  <c r="D54" i="51"/>
  <c r="E54" i="51"/>
  <c r="E53" i="51"/>
  <c r="D53" i="51"/>
  <c r="F43" i="31"/>
  <c r="E85" i="33"/>
  <c r="B57" i="33"/>
  <c r="E8" i="52"/>
  <c r="B10" i="51" l="1"/>
  <c r="G78" i="51"/>
  <c r="C128" i="51" s="1"/>
  <c r="F78" i="51"/>
  <c r="B10" i="31"/>
  <c r="C37" i="31" l="1"/>
  <c r="C59" i="31"/>
  <c r="C59" i="51"/>
  <c r="C38" i="51"/>
  <c r="C39" i="31"/>
  <c r="B9" i="51"/>
  <c r="E7" i="52" s="1"/>
  <c r="B7" i="51"/>
  <c r="B6" i="51"/>
  <c r="B4" i="51"/>
  <c r="B3" i="51"/>
  <c r="E122" i="51"/>
  <c r="D16" i="52"/>
  <c r="E90" i="33"/>
  <c r="D130" i="33" s="1"/>
  <c r="F44" i="33"/>
  <c r="F45" i="33"/>
  <c r="F46" i="33"/>
  <c r="F47" i="33"/>
  <c r="D109" i="31"/>
  <c r="D67" i="31"/>
  <c r="D70" i="31" s="1"/>
  <c r="D113" i="31"/>
  <c r="D114" i="31"/>
  <c r="E114" i="31" s="1"/>
  <c r="D115" i="31"/>
  <c r="D116" i="31"/>
  <c r="D117" i="31"/>
  <c r="D118" i="31"/>
  <c r="D119" i="31"/>
  <c r="D112" i="31"/>
  <c r="D110" i="31"/>
  <c r="C110" i="31"/>
  <c r="C119" i="31"/>
  <c r="D66" i="31"/>
  <c r="D68" i="31" s="1"/>
  <c r="D69" i="31" s="1"/>
  <c r="E63" i="31"/>
  <c r="D63" i="31"/>
  <c r="E59" i="31"/>
  <c r="E58" i="31"/>
  <c r="E50" i="31"/>
  <c r="E49" i="31"/>
  <c r="D50" i="31"/>
  <c r="D49" i="31"/>
  <c r="E44" i="51"/>
  <c r="E37" i="31"/>
  <c r="E36" i="31"/>
  <c r="E110" i="31" l="1"/>
  <c r="E119" i="31"/>
  <c r="C118" i="31"/>
  <c r="E118" i="31" s="1"/>
  <c r="C41" i="31" l="1"/>
  <c r="B91" i="31"/>
  <c r="F38" i="31"/>
  <c r="G38" i="31"/>
  <c r="C111" i="31"/>
  <c r="E111" i="31" s="1"/>
  <c r="C109" i="31"/>
  <c r="E109" i="31" s="1"/>
  <c r="C117" i="31"/>
  <c r="E117" i="31" s="1"/>
  <c r="C115" i="31"/>
  <c r="C112" i="31"/>
  <c r="E112" i="31" s="1"/>
  <c r="G39" i="51"/>
  <c r="G41" i="51"/>
  <c r="G42" i="51"/>
  <c r="G62" i="51"/>
  <c r="F39" i="51"/>
  <c r="F41" i="51"/>
  <c r="F42" i="51"/>
  <c r="F47" i="51"/>
  <c r="F48" i="51"/>
  <c r="F55" i="51"/>
  <c r="F56" i="51"/>
  <c r="F62" i="51"/>
  <c r="F71" i="51"/>
  <c r="D66" i="51"/>
  <c r="D67" i="51"/>
  <c r="D70" i="51" s="1"/>
  <c r="E63" i="51"/>
  <c r="D63" i="51"/>
  <c r="D128" i="51"/>
  <c r="E128" i="51" s="1"/>
  <c r="D124" i="51"/>
  <c r="D126" i="51"/>
  <c r="D127" i="51"/>
  <c r="D129" i="51"/>
  <c r="D130" i="51"/>
  <c r="D131" i="51"/>
  <c r="D132" i="51"/>
  <c r="D133" i="51"/>
  <c r="D123" i="51"/>
  <c r="E58" i="51"/>
  <c r="E59" i="51"/>
  <c r="E55" i="51"/>
  <c r="G55" i="51" s="1"/>
  <c r="E56" i="51"/>
  <c r="G56" i="51" s="1"/>
  <c r="E45" i="51"/>
  <c r="G45" i="51" s="1"/>
  <c r="E46" i="51"/>
  <c r="G46" i="51" s="1"/>
  <c r="E38" i="51"/>
  <c r="E51" i="51"/>
  <c r="E52" i="51"/>
  <c r="E37" i="51"/>
  <c r="E51" i="31" l="1"/>
  <c r="G31" i="67"/>
  <c r="G19" i="67"/>
  <c r="D69" i="51"/>
  <c r="D68" i="51"/>
  <c r="C116" i="31"/>
  <c r="E116" i="31" s="1"/>
  <c r="E115" i="31"/>
  <c r="D52" i="51"/>
  <c r="D41" i="33" s="1"/>
  <c r="D45" i="51"/>
  <c r="F45" i="51" s="1"/>
  <c r="D46" i="51"/>
  <c r="F46" i="51" s="1"/>
  <c r="D51" i="51"/>
  <c r="D40" i="33" s="1"/>
  <c r="C112" i="51"/>
  <c r="C103" i="51"/>
  <c r="G37" i="67" l="1"/>
  <c r="C16" i="52" l="1"/>
  <c r="E16" i="52" s="1"/>
  <c r="C124" i="51"/>
  <c r="E124" i="51" s="1"/>
  <c r="C133" i="51"/>
  <c r="E133" i="51" s="1"/>
  <c r="C57" i="33" l="1"/>
  <c r="C132" i="51"/>
  <c r="E132" i="51" s="1"/>
  <c r="J85" i="31" l="1"/>
  <c r="E57" i="33"/>
  <c r="D42" i="33"/>
  <c r="D51" i="31"/>
  <c r="C75" i="51"/>
  <c r="C40" i="51"/>
  <c r="C44" i="51"/>
  <c r="F16" i="52"/>
  <c r="G16" i="52" s="1"/>
  <c r="H16" i="52" s="1"/>
  <c r="I16" i="52" s="1"/>
  <c r="J16" i="52" s="1"/>
  <c r="C61" i="51"/>
  <c r="C76" i="51"/>
  <c r="B96" i="51"/>
  <c r="C49" i="51"/>
  <c r="G49" i="51" s="1"/>
  <c r="C129" i="51"/>
  <c r="C125" i="51"/>
  <c r="E125" i="51" s="1"/>
  <c r="G59" i="51"/>
  <c r="C58" i="51"/>
  <c r="G58" i="51" s="1"/>
  <c r="E52" i="31"/>
  <c r="C53" i="51"/>
  <c r="C52" i="51"/>
  <c r="C51" i="51"/>
  <c r="C131" i="51"/>
  <c r="E131" i="51" s="1"/>
  <c r="C37" i="51"/>
  <c r="G37" i="51" s="1"/>
  <c r="C54" i="51"/>
  <c r="C126" i="51"/>
  <c r="E126" i="51" s="1"/>
  <c r="C123" i="51"/>
  <c r="E123" i="51" s="1"/>
  <c r="D111" i="51"/>
  <c r="D102" i="51"/>
  <c r="C49" i="67" l="1"/>
  <c r="G71" i="51"/>
  <c r="J91" i="51" s="1"/>
  <c r="E50" i="67" s="1"/>
  <c r="E91" i="33"/>
  <c r="D131" i="33"/>
  <c r="G57" i="33"/>
  <c r="D132" i="33" s="1"/>
  <c r="F44" i="51"/>
  <c r="G44" i="51"/>
  <c r="G40" i="51"/>
  <c r="F40" i="51"/>
  <c r="C72" i="51"/>
  <c r="B95" i="51" s="1"/>
  <c r="G43" i="51"/>
  <c r="F43" i="51"/>
  <c r="E43" i="33"/>
  <c r="G54" i="51"/>
  <c r="F54" i="51"/>
  <c r="G38" i="51"/>
  <c r="E40" i="33"/>
  <c r="F40" i="33" s="1"/>
  <c r="G51" i="51"/>
  <c r="F51" i="51"/>
  <c r="E41" i="33"/>
  <c r="F41" i="33" s="1"/>
  <c r="G52" i="51"/>
  <c r="F52" i="51"/>
  <c r="E42" i="33"/>
  <c r="F42" i="33" s="1"/>
  <c r="G53" i="51"/>
  <c r="F53" i="51"/>
  <c r="D43" i="33"/>
  <c r="D52" i="31"/>
  <c r="C130" i="51"/>
  <c r="E130" i="51" s="1"/>
  <c r="E129" i="51"/>
  <c r="C63" i="51"/>
  <c r="G61" i="51"/>
  <c r="D103" i="51"/>
  <c r="D104" i="51" s="1"/>
  <c r="D112" i="51"/>
  <c r="E86" i="33" l="1"/>
  <c r="E49" i="67"/>
  <c r="J87" i="51"/>
  <c r="F43" i="33"/>
  <c r="F49" i="33" s="1"/>
  <c r="F50" i="33" s="1"/>
  <c r="F141" i="33"/>
  <c r="C72" i="31" s="1"/>
  <c r="D133" i="33"/>
  <c r="E98" i="33"/>
  <c r="G63" i="51"/>
  <c r="F63" i="51"/>
  <c r="E87" i="33" l="1"/>
  <c r="F137" i="33"/>
  <c r="C68" i="51" s="1"/>
  <c r="F138" i="33"/>
  <c r="C69" i="51" s="1"/>
  <c r="F140" i="33" l="1"/>
  <c r="F60" i="31"/>
  <c r="F64" i="31"/>
  <c r="U118" i="33"/>
  <c r="T118" i="33"/>
  <c r="S118" i="33"/>
  <c r="R118" i="33"/>
  <c r="Q118" i="33"/>
  <c r="U115" i="33"/>
  <c r="T115" i="33"/>
  <c r="S115" i="33"/>
  <c r="R115" i="33"/>
  <c r="Q115" i="33"/>
  <c r="P115" i="33"/>
  <c r="O115" i="33"/>
  <c r="N115" i="33"/>
  <c r="M115" i="33"/>
  <c r="L115" i="33"/>
  <c r="K115" i="33"/>
  <c r="N114" i="33"/>
  <c r="M114" i="33"/>
  <c r="L90" i="33"/>
  <c r="L114" i="33"/>
  <c r="K114" i="33"/>
  <c r="R80" i="33"/>
  <c r="M80" i="33"/>
  <c r="R79" i="33"/>
  <c r="M79" i="33"/>
  <c r="R78" i="33"/>
  <c r="M78" i="33"/>
  <c r="R77" i="33"/>
  <c r="M77" i="33"/>
  <c r="D77" i="33"/>
  <c r="R76" i="33"/>
  <c r="M76" i="33"/>
  <c r="D76" i="33"/>
  <c r="R75" i="33"/>
  <c r="M75" i="33"/>
  <c r="D75" i="33"/>
  <c r="R74" i="33"/>
  <c r="M74" i="33"/>
  <c r="D74" i="33"/>
  <c r="R73" i="33"/>
  <c r="M73" i="33"/>
  <c r="D73" i="33"/>
  <c r="R72" i="33"/>
  <c r="M72" i="33"/>
  <c r="D72" i="33"/>
  <c r="R71" i="33"/>
  <c r="M71" i="33"/>
  <c r="D71" i="33"/>
  <c r="R70" i="33"/>
  <c r="D70" i="33"/>
  <c r="D24" i="33"/>
  <c r="E24" i="33"/>
  <c r="R41" i="33"/>
  <c r="P41" i="33"/>
  <c r="N41" i="33"/>
  <c r="L41" i="33"/>
  <c r="D3" i="33"/>
  <c r="E3" i="33"/>
  <c r="K103" i="33"/>
  <c r="K105" i="33" s="1"/>
  <c r="O114" i="33" l="1"/>
  <c r="B65" i="33"/>
  <c r="S114" i="33"/>
  <c r="S120" i="33" s="1"/>
  <c r="U48" i="33"/>
  <c r="B62" i="33"/>
  <c r="M41" i="33"/>
  <c r="B68" i="33"/>
  <c r="Q41" i="33"/>
  <c r="S41" i="33"/>
  <c r="O41" i="33"/>
  <c r="Q48" i="33"/>
  <c r="U114" i="33"/>
  <c r="U120" i="33" s="1"/>
  <c r="B61" i="33"/>
  <c r="R114" i="33"/>
  <c r="R120" i="33" s="1"/>
  <c r="B69" i="33"/>
  <c r="W48" i="33"/>
  <c r="Q114" i="33"/>
  <c r="Q120" i="33" s="1"/>
  <c r="O3" i="33"/>
  <c r="P3" i="33" s="1"/>
  <c r="O48" i="33"/>
  <c r="B67" i="33"/>
  <c r="M90" i="33"/>
  <c r="N90" i="33" s="1"/>
  <c r="O90" i="33" s="1"/>
  <c r="P90" i="33" s="1"/>
  <c r="Q90" i="33" s="1"/>
  <c r="R90" i="33" s="1"/>
  <c r="S90" i="33" s="1"/>
  <c r="T90" i="33" s="1"/>
  <c r="U90" i="33" s="1"/>
  <c r="B66" i="33"/>
  <c r="E4" i="33"/>
  <c r="E5" i="33" s="1"/>
  <c r="E6" i="33" s="1"/>
  <c r="E7" i="33" s="1"/>
  <c r="B63" i="33"/>
  <c r="M48" i="33"/>
  <c r="P114" i="33"/>
  <c r="E25" i="33"/>
  <c r="D78" i="33"/>
  <c r="M24" i="33"/>
  <c r="N24" i="33" s="1"/>
  <c r="K24" i="33"/>
  <c r="L24" i="33" s="1"/>
  <c r="D4" i="33"/>
  <c r="K3" i="33"/>
  <c r="L3" i="33" s="1"/>
  <c r="M3" i="33"/>
  <c r="N3" i="33" s="1"/>
  <c r="D25" i="33"/>
  <c r="E117" i="33"/>
  <c r="E118" i="33" s="1"/>
  <c r="T114" i="33"/>
  <c r="T120" i="33" s="1"/>
  <c r="B60" i="33"/>
  <c r="K4" i="33" l="1"/>
  <c r="L4" i="33" s="1"/>
  <c r="D5" i="33"/>
  <c r="O4" i="33"/>
  <c r="P4" i="33" s="1"/>
  <c r="L43" i="33" s="1"/>
  <c r="M4" i="33"/>
  <c r="N4" i="33" s="1"/>
  <c r="D79" i="33"/>
  <c r="M25" i="33"/>
  <c r="N25" i="33" s="1"/>
  <c r="L47" i="33" s="1"/>
  <c r="M47" i="33" s="1"/>
  <c r="K25" i="33"/>
  <c r="L25" i="33" s="1"/>
  <c r="L46" i="33" s="1"/>
  <c r="M46" i="33" s="1"/>
  <c r="E26" i="33"/>
  <c r="Y48" i="33"/>
  <c r="D26" i="33"/>
  <c r="K117" i="33"/>
  <c r="K118" i="33" s="1"/>
  <c r="K120" i="33" s="1"/>
  <c r="E8" i="33"/>
  <c r="D80" i="33" l="1"/>
  <c r="E27" i="33"/>
  <c r="M26" i="33"/>
  <c r="N26" i="33" s="1"/>
  <c r="N47" i="33" s="1"/>
  <c r="O47" i="33" s="1"/>
  <c r="K26" i="33"/>
  <c r="L26" i="33" s="1"/>
  <c r="N46" i="33" s="1"/>
  <c r="O46" i="33" s="1"/>
  <c r="M43" i="33"/>
  <c r="L45" i="33"/>
  <c r="M45" i="33" s="1"/>
  <c r="AA48" i="33"/>
  <c r="M5" i="33"/>
  <c r="N5" i="33" s="1"/>
  <c r="D6" i="33"/>
  <c r="O5" i="33"/>
  <c r="P5" i="33" s="1"/>
  <c r="N43" i="33" s="1"/>
  <c r="K5" i="33"/>
  <c r="L5" i="33" s="1"/>
  <c r="D27" i="33"/>
  <c r="L117" i="33"/>
  <c r="L118" i="33" s="1"/>
  <c r="L120" i="33" s="1"/>
  <c r="T41" i="33"/>
  <c r="U41" i="33" s="1"/>
  <c r="E9" i="33"/>
  <c r="L40" i="33"/>
  <c r="M40" i="33" s="1"/>
  <c r="L42" i="33"/>
  <c r="N42" i="33" l="1"/>
  <c r="N40" i="33"/>
  <c r="O40" i="33" s="1"/>
  <c r="O49" i="33" s="1"/>
  <c r="D60" i="33" s="1"/>
  <c r="AC48" i="33"/>
  <c r="E10" i="33"/>
  <c r="V41" i="33"/>
  <c r="W41" i="33" s="1"/>
  <c r="D7" i="33"/>
  <c r="K6" i="33"/>
  <c r="L6" i="33" s="1"/>
  <c r="P40" i="33" s="1"/>
  <c r="M6" i="33"/>
  <c r="N6" i="33" s="1"/>
  <c r="O6" i="33"/>
  <c r="P6" i="33" s="1"/>
  <c r="P43" i="33" s="1"/>
  <c r="E28" i="33"/>
  <c r="M27" i="33"/>
  <c r="N27" i="33" s="1"/>
  <c r="P47" i="33" s="1"/>
  <c r="Q47" i="33" s="1"/>
  <c r="K27" i="33"/>
  <c r="L27" i="33" s="1"/>
  <c r="P46" i="33" s="1"/>
  <c r="Q46" i="33" s="1"/>
  <c r="L44" i="33"/>
  <c r="M44" i="33" s="1"/>
  <c r="M42" i="33"/>
  <c r="O43" i="33"/>
  <c r="N45" i="33"/>
  <c r="O45" i="33" s="1"/>
  <c r="M117" i="33"/>
  <c r="M118" i="33" s="1"/>
  <c r="M120" i="33" s="1"/>
  <c r="D28" i="33"/>
  <c r="F103" i="33"/>
  <c r="M49" i="33" l="1"/>
  <c r="D59" i="33" s="1"/>
  <c r="P42" i="33"/>
  <c r="Q40" i="33"/>
  <c r="Q49" i="33" s="1"/>
  <c r="D61" i="33" s="1"/>
  <c r="X41" i="33"/>
  <c r="Y41" i="33" s="1"/>
  <c r="E11" i="33"/>
  <c r="D29" i="33"/>
  <c r="N117" i="33"/>
  <c r="N118" i="33" s="1"/>
  <c r="N120" i="33" s="1"/>
  <c r="K28" i="33"/>
  <c r="L28" i="33" s="1"/>
  <c r="R46" i="33" s="1"/>
  <c r="S46" i="33" s="1"/>
  <c r="E29" i="33"/>
  <c r="M28" i="33"/>
  <c r="N28" i="33" s="1"/>
  <c r="R47" i="33" s="1"/>
  <c r="S47" i="33" s="1"/>
  <c r="D8" i="33"/>
  <c r="K7" i="33"/>
  <c r="L7" i="33" s="1"/>
  <c r="R40" i="33" s="1"/>
  <c r="M7" i="33"/>
  <c r="N7" i="33" s="1"/>
  <c r="O7" i="33"/>
  <c r="P7" i="33" s="1"/>
  <c r="R43" i="33" s="1"/>
  <c r="Q43" i="33"/>
  <c r="P45" i="33"/>
  <c r="Q45" i="33" s="1"/>
  <c r="AG48" i="33"/>
  <c r="AE48" i="33"/>
  <c r="N44" i="33"/>
  <c r="O44" i="33" s="1"/>
  <c r="O42" i="33"/>
  <c r="D9" i="33" l="1"/>
  <c r="K8" i="33"/>
  <c r="L8" i="33" s="1"/>
  <c r="T40" i="33" s="1"/>
  <c r="O8" i="33"/>
  <c r="P8" i="33" s="1"/>
  <c r="T43" i="33" s="1"/>
  <c r="M8" i="33"/>
  <c r="N8" i="33" s="1"/>
  <c r="S43" i="33"/>
  <c r="R45" i="33"/>
  <c r="S45" i="33" s="1"/>
  <c r="D30" i="33"/>
  <c r="O117" i="33"/>
  <c r="O118" i="33" s="1"/>
  <c r="O120" i="33" s="1"/>
  <c r="M29" i="33"/>
  <c r="N29" i="33" s="1"/>
  <c r="T47" i="33" s="1"/>
  <c r="U47" i="33" s="1"/>
  <c r="K29" i="33"/>
  <c r="L29" i="33" s="1"/>
  <c r="T46" i="33" s="1"/>
  <c r="U46" i="33" s="1"/>
  <c r="E30" i="33"/>
  <c r="E12" i="33"/>
  <c r="Z41" i="33"/>
  <c r="AA41" i="33" s="1"/>
  <c r="R42" i="33"/>
  <c r="S40" i="33"/>
  <c r="S49" i="33" s="1"/>
  <c r="D62" i="33" s="1"/>
  <c r="P44" i="33"/>
  <c r="Q44" i="33" s="1"/>
  <c r="Q42" i="33"/>
  <c r="S42" i="33" l="1"/>
  <c r="R44" i="33"/>
  <c r="S44" i="33" s="1"/>
  <c r="E31" i="33"/>
  <c r="K30" i="33"/>
  <c r="L30" i="33" s="1"/>
  <c r="V46" i="33" s="1"/>
  <c r="W46" i="33" s="1"/>
  <c r="M30" i="33"/>
  <c r="N30" i="33" s="1"/>
  <c r="V47" i="33" s="1"/>
  <c r="W47" i="33" s="1"/>
  <c r="D31" i="33"/>
  <c r="D32" i="33" s="1"/>
  <c r="D33" i="33" s="1"/>
  <c r="D34" i="33" s="1"/>
  <c r="D35" i="33" s="1"/>
  <c r="P117" i="33"/>
  <c r="P118" i="33" s="1"/>
  <c r="P120" i="33" s="1"/>
  <c r="U43" i="33"/>
  <c r="T45" i="33"/>
  <c r="U45" i="33" s="1"/>
  <c r="T42" i="33"/>
  <c r="U40" i="33"/>
  <c r="U49" i="33" s="1"/>
  <c r="D63" i="33" s="1"/>
  <c r="AB41" i="33"/>
  <c r="AC41" i="33" s="1"/>
  <c r="E13" i="33"/>
  <c r="D10" i="33"/>
  <c r="K9" i="33"/>
  <c r="L9" i="33" s="1"/>
  <c r="V40" i="33" s="1"/>
  <c r="M9" i="33"/>
  <c r="N9" i="33" s="1"/>
  <c r="O9" i="33"/>
  <c r="P9" i="33" s="1"/>
  <c r="V43" i="33" s="1"/>
  <c r="D11" i="33" l="1"/>
  <c r="K10" i="33"/>
  <c r="L10" i="33" s="1"/>
  <c r="X40" i="33" s="1"/>
  <c r="M10" i="33"/>
  <c r="N10" i="33" s="1"/>
  <c r="O10" i="33"/>
  <c r="P10" i="33" s="1"/>
  <c r="X43" i="33" s="1"/>
  <c r="E32" i="33"/>
  <c r="M31" i="33"/>
  <c r="N31" i="33" s="1"/>
  <c r="X47" i="33" s="1"/>
  <c r="Y47" i="33" s="1"/>
  <c r="K31" i="33"/>
  <c r="L31" i="33" s="1"/>
  <c r="X46" i="33" s="1"/>
  <c r="Y46" i="33" s="1"/>
  <c r="W43" i="33"/>
  <c r="V45" i="33"/>
  <c r="W45" i="33" s="1"/>
  <c r="T44" i="33"/>
  <c r="U44" i="33" s="1"/>
  <c r="U42" i="33"/>
  <c r="V42" i="33"/>
  <c r="W40" i="33"/>
  <c r="W49" i="33" s="1"/>
  <c r="D64" i="33" s="1"/>
  <c r="E14" i="33"/>
  <c r="AD41" i="33"/>
  <c r="AE41" i="33" s="1"/>
  <c r="AF41" i="33" l="1"/>
  <c r="AG41" i="33" s="1"/>
  <c r="V44" i="33"/>
  <c r="W44" i="33" s="1"/>
  <c r="W42" i="33"/>
  <c r="Y43" i="33"/>
  <c r="X45" i="33"/>
  <c r="Y45" i="33" s="1"/>
  <c r="X42" i="33"/>
  <c r="Y40" i="33"/>
  <c r="Y49" i="33" s="1"/>
  <c r="D65" i="33" s="1"/>
  <c r="K32" i="33"/>
  <c r="L32" i="33" s="1"/>
  <c r="Z46" i="33" s="1"/>
  <c r="AA46" i="33" s="1"/>
  <c r="E33" i="33"/>
  <c r="M32" i="33"/>
  <c r="N32" i="33" s="1"/>
  <c r="Z47" i="33" s="1"/>
  <c r="AA47" i="33" s="1"/>
  <c r="D12" i="33"/>
  <c r="K11" i="33"/>
  <c r="L11" i="33" s="1"/>
  <c r="Z40" i="33" s="1"/>
  <c r="M11" i="33"/>
  <c r="N11" i="33" s="1"/>
  <c r="O11" i="33"/>
  <c r="P11" i="33" s="1"/>
  <c r="Z43" i="33" s="1"/>
  <c r="X44" i="33" l="1"/>
  <c r="Y44" i="33" s="1"/>
  <c r="Y42" i="33"/>
  <c r="K33" i="33"/>
  <c r="L33" i="33" s="1"/>
  <c r="AB46" i="33" s="1"/>
  <c r="AC46" i="33" s="1"/>
  <c r="M33" i="33"/>
  <c r="N33" i="33" s="1"/>
  <c r="AB47" i="33" s="1"/>
  <c r="AC47" i="33" s="1"/>
  <c r="E34" i="33"/>
  <c r="Z42" i="33"/>
  <c r="AA40" i="33"/>
  <c r="AA49" i="33" s="1"/>
  <c r="D66" i="33" s="1"/>
  <c r="Z45" i="33"/>
  <c r="AA45" i="33" s="1"/>
  <c r="AA43" i="33"/>
  <c r="D13" i="33"/>
  <c r="K12" i="33"/>
  <c r="L12" i="33" s="1"/>
  <c r="AB40" i="33" s="1"/>
  <c r="M12" i="33"/>
  <c r="N12" i="33" s="1"/>
  <c r="O12" i="33"/>
  <c r="P12" i="33" s="1"/>
  <c r="AB43" i="33" s="1"/>
  <c r="AB42" i="33" l="1"/>
  <c r="AC40" i="33"/>
  <c r="AC49" i="33" s="1"/>
  <c r="D67" i="33" s="1"/>
  <c r="D14" i="33"/>
  <c r="K13" i="33"/>
  <c r="L13" i="33" s="1"/>
  <c r="AD40" i="33" s="1"/>
  <c r="O13" i="33"/>
  <c r="P13" i="33" s="1"/>
  <c r="AD43" i="33" s="1"/>
  <c r="M13" i="33"/>
  <c r="N13" i="33" s="1"/>
  <c r="AA42" i="33"/>
  <c r="Z44" i="33"/>
  <c r="AA44" i="33" s="1"/>
  <c r="AB45" i="33"/>
  <c r="AC45" i="33" s="1"/>
  <c r="AC43" i="33"/>
  <c r="E35" i="33"/>
  <c r="K34" i="33"/>
  <c r="L34" i="33" s="1"/>
  <c r="AD46" i="33" s="1"/>
  <c r="AE46" i="33" s="1"/>
  <c r="M34" i="33"/>
  <c r="N34" i="33" s="1"/>
  <c r="AD47" i="33" s="1"/>
  <c r="AE47" i="33" s="1"/>
  <c r="AD42" i="33" l="1"/>
  <c r="AE40" i="33"/>
  <c r="AE49" i="33" s="1"/>
  <c r="D68" i="33" s="1"/>
  <c r="M35" i="33"/>
  <c r="N35" i="33" s="1"/>
  <c r="AF47" i="33" s="1"/>
  <c r="AG47" i="33" s="1"/>
  <c r="K35" i="33"/>
  <c r="L35" i="33" s="1"/>
  <c r="AF46" i="33" s="1"/>
  <c r="AG46" i="33" s="1"/>
  <c r="K14" i="33"/>
  <c r="L14" i="33" s="1"/>
  <c r="AF40" i="33" s="1"/>
  <c r="O14" i="33"/>
  <c r="P14" i="33" s="1"/>
  <c r="AF43" i="33" s="1"/>
  <c r="M14" i="33"/>
  <c r="N14" i="33" s="1"/>
  <c r="AE43" i="33"/>
  <c r="AD45" i="33"/>
  <c r="AE45" i="33" s="1"/>
  <c r="AB44" i="33"/>
  <c r="AC44" i="33" s="1"/>
  <c r="AC42" i="33"/>
  <c r="AG43" i="33" l="1"/>
  <c r="AF45" i="33"/>
  <c r="AG45" i="33" s="1"/>
  <c r="AG40" i="33"/>
  <c r="AG49" i="33" s="1"/>
  <c r="D69" i="33" s="1"/>
  <c r="AF42" i="33"/>
  <c r="AD44" i="33"/>
  <c r="AE44" i="33" s="1"/>
  <c r="AE42" i="33"/>
  <c r="AF44" i="33" l="1"/>
  <c r="AG44" i="33" s="1"/>
  <c r="AG42" i="33"/>
  <c r="C40" i="31" l="1"/>
  <c r="C59" i="33"/>
  <c r="E115" i="33"/>
  <c r="F40" i="31" l="1"/>
  <c r="G40" i="31"/>
  <c r="F39" i="31"/>
  <c r="G39" i="31"/>
  <c r="E108" i="33"/>
  <c r="C60" i="33"/>
  <c r="E59" i="33"/>
  <c r="K59" i="33"/>
  <c r="E110" i="33" l="1"/>
  <c r="E111" i="33" s="1"/>
  <c r="E103" i="33" s="1"/>
  <c r="E109" i="33"/>
  <c r="L108" i="33"/>
  <c r="K60" i="33"/>
  <c r="C61" i="33"/>
  <c r="E60" i="33"/>
  <c r="C62" i="33" l="1"/>
  <c r="M108" i="33"/>
  <c r="K61" i="33"/>
  <c r="E61" i="33"/>
  <c r="L109" i="33"/>
  <c r="L110" i="33"/>
  <c r="L111" i="33" s="1"/>
  <c r="L103" i="33" s="1"/>
  <c r="L105" i="33" s="1"/>
  <c r="M109" i="33" l="1"/>
  <c r="M110" i="33"/>
  <c r="M111" i="33" s="1"/>
  <c r="M103" i="33" s="1"/>
  <c r="M105" i="33" s="1"/>
  <c r="E62" i="33"/>
  <c r="C63" i="33"/>
  <c r="K62" i="33"/>
  <c r="N108" i="33"/>
  <c r="K63" i="33" l="1"/>
  <c r="E63" i="33"/>
  <c r="C64" i="33"/>
  <c r="O108" i="33"/>
  <c r="N109" i="33"/>
  <c r="N110" i="33"/>
  <c r="N111" i="33" s="1"/>
  <c r="N103" i="33" s="1"/>
  <c r="N105" i="33" s="1"/>
  <c r="O110" i="33" l="1"/>
  <c r="O111" i="33" s="1"/>
  <c r="O103" i="33" s="1"/>
  <c r="O105" i="33" s="1"/>
  <c r="O109" i="33"/>
  <c r="K64" i="33"/>
  <c r="E64" i="33"/>
  <c r="C65" i="33"/>
  <c r="P108" i="33"/>
  <c r="P110" i="33" l="1"/>
  <c r="P111" i="33" s="1"/>
  <c r="P103" i="33" s="1"/>
  <c r="P105" i="33" s="1"/>
  <c r="P109" i="33"/>
  <c r="E65" i="33"/>
  <c r="K65" i="33"/>
  <c r="Q108" i="33"/>
  <c r="C66" i="33"/>
  <c r="C67" i="33" l="1"/>
  <c r="E66" i="33"/>
  <c r="R108" i="33"/>
  <c r="K66" i="33"/>
  <c r="Q110" i="33"/>
  <c r="Q111" i="33" s="1"/>
  <c r="Q103" i="33" s="1"/>
  <c r="Q105" i="33" s="1"/>
  <c r="Q109" i="33"/>
  <c r="R109" i="33" l="1"/>
  <c r="R110" i="33"/>
  <c r="R111" i="33" s="1"/>
  <c r="R103" i="33" s="1"/>
  <c r="R105" i="33" s="1"/>
  <c r="S108" i="33"/>
  <c r="C68" i="33"/>
  <c r="K67" i="33"/>
  <c r="E67" i="33"/>
  <c r="S109" i="33" l="1"/>
  <c r="S110" i="33"/>
  <c r="S111" i="33" s="1"/>
  <c r="S103" i="33" s="1"/>
  <c r="S105" i="33" s="1"/>
  <c r="E68" i="33"/>
  <c r="K68" i="33"/>
  <c r="T108" i="33"/>
  <c r="C69" i="33"/>
  <c r="E69" i="33" l="1"/>
  <c r="U108" i="33"/>
  <c r="K69" i="33"/>
  <c r="M70" i="33" s="1"/>
  <c r="T110" i="33"/>
  <c r="T111" i="33" s="1"/>
  <c r="T103" i="33" s="1"/>
  <c r="T105" i="33" s="1"/>
  <c r="T109" i="33"/>
  <c r="U110" i="33" l="1"/>
  <c r="U111" i="33" s="1"/>
  <c r="U103" i="33" s="1"/>
  <c r="U105" i="33" s="1"/>
  <c r="U109" i="33"/>
  <c r="C36" i="31" l="1"/>
  <c r="C58" i="31"/>
  <c r="C52" i="31"/>
  <c r="C47" i="31"/>
  <c r="C50" i="31"/>
  <c r="C49" i="31"/>
  <c r="C61" i="31"/>
  <c r="C51" i="31"/>
  <c r="C63" i="31" l="1"/>
  <c r="G63" i="31" s="1"/>
  <c r="G50" i="31"/>
  <c r="F50" i="31"/>
  <c r="F58" i="31"/>
  <c r="G58" i="31"/>
  <c r="D125" i="31"/>
  <c r="G61" i="31"/>
  <c r="F61" i="31"/>
  <c r="F47" i="31"/>
  <c r="G47" i="31"/>
  <c r="F52" i="31"/>
  <c r="G52" i="31"/>
  <c r="E114" i="33"/>
  <c r="F51" i="31"/>
  <c r="G51" i="31"/>
  <c r="G49" i="31"/>
  <c r="F49" i="31"/>
  <c r="F36" i="31"/>
  <c r="G36" i="31"/>
  <c r="D124" i="31"/>
  <c r="F63" i="31" l="1"/>
  <c r="E116" i="33"/>
  <c r="K116" i="33" s="1"/>
  <c r="L116" i="33" s="1"/>
  <c r="M116" i="33" s="1"/>
  <c r="N116" i="33" s="1"/>
  <c r="O116" i="33" s="1"/>
  <c r="P116" i="33" s="1"/>
  <c r="Q116" i="33" s="1"/>
  <c r="R116" i="33" s="1"/>
  <c r="S116" i="33" s="1"/>
  <c r="T116" i="33" s="1"/>
  <c r="U116" i="33" s="1"/>
  <c r="E120" i="33"/>
  <c r="C69" i="31" l="1"/>
  <c r="F69" i="51"/>
  <c r="E95" i="33" s="1"/>
  <c r="D57" i="33"/>
  <c r="F57" i="33" l="1"/>
  <c r="E141" i="33"/>
  <c r="B90" i="31" s="1"/>
  <c r="C68" i="31"/>
  <c r="C70" i="51"/>
  <c r="F70" i="51" s="1"/>
  <c r="E96" i="33" s="1"/>
  <c r="F68" i="51"/>
  <c r="G69" i="31"/>
  <c r="F69" i="31"/>
  <c r="J86" i="51" l="1"/>
  <c r="E94" i="33"/>
  <c r="D72" i="51"/>
  <c r="F72" i="51" s="1"/>
  <c r="E72" i="31"/>
  <c r="F72" i="31" s="1"/>
  <c r="C70" i="31"/>
  <c r="F68" i="31"/>
  <c r="G68" i="31"/>
  <c r="F70" i="31" l="1"/>
  <c r="G70" i="31"/>
  <c r="G42" i="31" l="1"/>
  <c r="F42" i="31"/>
  <c r="F41" i="31"/>
  <c r="G41" i="31"/>
  <c r="G33" i="67" s="1"/>
  <c r="F59" i="31"/>
  <c r="G59" i="31"/>
  <c r="G37" i="31"/>
  <c r="F37" i="31"/>
  <c r="G38" i="67" l="1"/>
  <c r="G39" i="67" s="1"/>
  <c r="G34" i="67"/>
  <c r="C113" i="31"/>
  <c r="C50" i="67"/>
  <c r="E113" i="31" l="1"/>
  <c r="E120" i="31" s="1"/>
  <c r="G64" i="31" s="1"/>
  <c r="H34" i="67"/>
  <c r="C45" i="67" s="1"/>
  <c r="G73" i="31" l="1"/>
  <c r="C47" i="67" s="1"/>
  <c r="J84" i="31" l="1"/>
  <c r="F76" i="51" l="1"/>
  <c r="G76" i="51"/>
  <c r="F75" i="51"/>
  <c r="G75" i="51"/>
  <c r="E99" i="33" l="1"/>
  <c r="D134" i="33" s="1"/>
  <c r="F136" i="33" s="1"/>
  <c r="C127" i="51"/>
  <c r="C66" i="51" l="1"/>
  <c r="I39" i="67" s="1"/>
  <c r="E48" i="67" s="1"/>
  <c r="E127" i="51"/>
  <c r="E134" i="51" s="1"/>
  <c r="G64" i="51" s="1"/>
  <c r="G73" i="51" s="1"/>
  <c r="E47" i="67" s="1"/>
  <c r="I34" i="67"/>
  <c r="E45" i="67" s="1"/>
  <c r="F139" i="33"/>
  <c r="C66" i="31"/>
  <c r="H39" i="67" s="1"/>
  <c r="C48" i="67" s="1"/>
  <c r="C67" i="51" l="1"/>
  <c r="F67" i="51" s="1"/>
  <c r="E93" i="33" s="1"/>
  <c r="J92" i="51"/>
  <c r="D107" i="51"/>
  <c r="D116" i="51"/>
  <c r="E114" i="51" s="1"/>
  <c r="F66" i="51"/>
  <c r="E92" i="33" l="1"/>
  <c r="F73" i="51"/>
  <c r="F79" i="51" s="1"/>
  <c r="E46" i="67" l="1"/>
  <c r="J84" i="51"/>
  <c r="I14" i="67" s="1"/>
  <c r="E42" i="67" s="1"/>
  <c r="E97" i="33"/>
  <c r="E100" i="33" s="1"/>
  <c r="J85" i="51" l="1"/>
  <c r="D89" i="51" s="1"/>
  <c r="J87" i="31"/>
  <c r="D83" i="31" s="1"/>
  <c r="E23" i="24" l="1"/>
  <c r="E16" i="24"/>
  <c r="E7" i="24"/>
  <c r="E24" i="24"/>
  <c r="E14" i="24"/>
  <c r="E15" i="24"/>
  <c r="E10" i="24"/>
  <c r="E18" i="24"/>
  <c r="E19" i="24"/>
  <c r="E22" i="24"/>
  <c r="E17" i="24"/>
  <c r="E21" i="24"/>
  <c r="E8" i="24"/>
  <c r="E20" i="24"/>
  <c r="E11" i="24"/>
  <c r="E26" i="24"/>
  <c r="E13" i="24"/>
  <c r="E12" i="24"/>
  <c r="E9" i="24"/>
  <c r="E25" i="24"/>
  <c r="I22" i="67"/>
  <c r="E43" i="67" s="1"/>
  <c r="B97" i="51"/>
  <c r="E27" i="24" l="1"/>
  <c r="H12" i="24" s="1"/>
  <c r="I28" i="67"/>
  <c r="E44" i="67" s="1"/>
  <c r="F66" i="31"/>
  <c r="C67" i="31"/>
  <c r="F67" i="31" s="1"/>
  <c r="D129" i="31"/>
  <c r="F127" i="31" s="1"/>
  <c r="J79" i="31" s="1"/>
  <c r="F73" i="31" l="1"/>
  <c r="C46" i="67" s="1"/>
  <c r="G21" i="67"/>
  <c r="H89" i="51" l="1"/>
  <c r="J90" i="51" s="1"/>
  <c r="G25" i="67"/>
  <c r="G28" i="67" s="1"/>
  <c r="C44" i="67" s="1"/>
  <c r="H22" i="67"/>
  <c r="J78" i="31"/>
  <c r="H14" i="67" s="1"/>
  <c r="C42" i="67" s="1"/>
  <c r="G18" i="67"/>
  <c r="G22" i="67" s="1"/>
  <c r="C43" i="67" s="1"/>
  <c r="G9" i="67"/>
  <c r="G14" i="67" s="1"/>
  <c r="B92" i="31"/>
  <c r="B94" i="51" l="1"/>
  <c r="H83" i="31"/>
  <c r="H28" i="67"/>
  <c r="B89" i="31" l="1"/>
  <c r="J86"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01C9FF24-4267-4426-BBB6-8930A1F99463}">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12C3E9E9-9C5C-4698-B153-9159D637D3F6}">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E8" authorId="0" shapeId="0" xr:uid="{FF067441-7ACB-4A30-BD98-D7072908C4AD}">
      <text>
        <r>
          <rPr>
            <sz val="9"/>
            <color indexed="81"/>
            <rFont val="Tahoma"/>
            <family val="2"/>
          </rPr>
          <t xml:space="preserve">
La table est programmée de telle sorte que le pourcentage soit reporté dans cette colonne si le salaire net PAS reporté en H11 est supérieur à la tranch inférieure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G4" authorId="0" shapeId="0" xr:uid="{11661B80-9043-442F-BC95-8FE2EA392E1A}">
      <text>
        <r>
          <rPr>
            <sz val="9"/>
            <color indexed="81"/>
            <rFont val="Tahoma"/>
            <family val="2"/>
          </rPr>
          <t xml:space="preserve">Les infos que vous retrouvez à ce niveau sont répercutées automatiquement dans le BP 
</t>
        </r>
      </text>
    </comment>
    <comment ref="H20" authorId="0" shapeId="0" xr:uid="{3AD39DB9-16F1-4707-AC6B-2A69589981AE}">
      <text>
        <r>
          <rPr>
            <sz val="9"/>
            <color indexed="81"/>
            <rFont val="Tahoma"/>
            <family val="2"/>
          </rPr>
          <t xml:space="preserve">Si vous voulez que l'Assurance décés des Cadres apparaisse de manière distincte sur le Bulletin de Paie vous saisirez le taux de 1,5% en PP 
</t>
        </r>
      </text>
    </comment>
    <comment ref="E26" authorId="0" shapeId="0" xr:uid="{17A215A9-59EC-47D4-8877-B785832089D3}">
      <text>
        <r>
          <rPr>
            <sz val="9"/>
            <color indexed="81"/>
            <rFont val="Tahoma"/>
            <family val="2"/>
          </rPr>
          <t xml:space="preserve">Ces données sont reportées directement sur le BP une fois saisies à ce niveau </t>
        </r>
        <r>
          <rPr>
            <b/>
            <sz val="9"/>
            <color indexed="81"/>
            <rFont val="Tahoma"/>
            <family val="2"/>
          </rPr>
          <t xml:space="preserve">
</t>
        </r>
      </text>
    </comment>
    <comment ref="E32" authorId="0" shapeId="0" xr:uid="{B551F439-EF12-46BA-8B92-8224FA6178B4}">
      <text>
        <r>
          <rPr>
            <sz val="9"/>
            <color indexed="81"/>
            <rFont val="Tahoma"/>
            <family val="2"/>
          </rPr>
          <t xml:space="preserve">Les Bulletins de Paie sont paramétrés indifféremment pour les Cadres et les Non Cadres à partir du moment  où vous avez correctement saisi NC ou C ( 1 ou 2) </t>
        </r>
        <r>
          <rPr>
            <sz val="9"/>
            <color indexed="81"/>
            <rFont val="Tahoma"/>
            <family val="2"/>
          </rPr>
          <t xml:space="preserve">
</t>
        </r>
      </text>
    </comment>
    <comment ref="F46" authorId="0" shapeId="0" xr:uid="{55EB6073-380A-40C6-A442-7CCC78A2747A}">
      <text>
        <r>
          <rPr>
            <sz val="9"/>
            <color indexed="81"/>
            <rFont val="Tahoma"/>
            <family val="2"/>
          </rPr>
          <t xml:space="preserve">Bien faire la différence entre les heures contractuelles et les heures URSSAF qui interviennent en cas d'absence non rémunérées ou partiellement rémunérées  , en cas d'heures supplémentaires ou complémentaires par exemple
</t>
        </r>
      </text>
    </comment>
    <comment ref="F47" authorId="0" shapeId="0" xr:uid="{FBE1FBB0-E6F2-403C-90C5-E5B7950D32E0}">
      <text>
        <r>
          <rPr>
            <sz val="9"/>
            <color indexed="81"/>
            <rFont val="Tahoma"/>
            <family val="2"/>
          </rPr>
          <t xml:space="preserve">Les autres composantes du salaire brut ( absences, primes , heures supplémentaires …) seront saisies directement dans le haut du bulletin entre les Lignes 13 à 31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8" authorId="0" shapeId="0" xr:uid="{B817824A-CB9C-4920-A749-6FD761AF5E45}">
      <text>
        <r>
          <rPr>
            <sz val="9"/>
            <color indexed="81"/>
            <rFont val="Tahoma"/>
            <family val="2"/>
          </rPr>
          <t xml:space="preserve">
</t>
        </r>
        <r>
          <rPr>
            <sz val="8"/>
            <color indexed="81"/>
            <rFont val="Times New Roman"/>
            <family val="1"/>
          </rPr>
          <t xml:space="preserve">(En plus des 7 % si Salaire Brut &gt; 2,25 SMIC </t>
        </r>
      </text>
    </comment>
    <comment ref="F79" authorId="0" shapeId="0" xr:uid="{437448DD-99C4-4927-A837-1E8B3C8786C5}">
      <text>
        <r>
          <rPr>
            <sz val="9"/>
            <color indexed="81"/>
            <rFont val="Tahoma"/>
            <family val="2"/>
          </rPr>
          <t xml:space="preserve">Le MNS comprend les IJSS Nettes (2025) lorsque l'entreprise  pratique  la subrogation. 
En cas de non subrogation c'est au salarié de le faire. </t>
        </r>
      </text>
    </comment>
    <comment ref="F83" authorId="0" shapeId="0" xr:uid="{82775510-B3C0-4956-9B0C-80EF659191F7}">
      <text>
        <r>
          <rPr>
            <sz val="9"/>
            <color indexed="81"/>
            <rFont val="Tahoma"/>
            <family val="2"/>
          </rPr>
          <t xml:space="preserve">
En cas de non subrogation les IJSS nettes n'apparaissent jamais sur le bas du BP</t>
        </r>
      </text>
    </comment>
    <comment ref="D89" authorId="0" shapeId="0" xr:uid="{BE437FAD-31F2-4C7A-B519-1B424658380B}">
      <text>
        <r>
          <rPr>
            <sz val="9"/>
            <color indexed="81"/>
            <rFont val="Tahoma"/>
            <family val="2"/>
          </rPr>
          <t xml:space="preserve">La base du PAS n'est pas toujours égale au Net Imposable. </t>
        </r>
      </text>
    </comment>
    <comment ref="F89" authorId="0" shapeId="0" xr:uid="{E9BE492F-1D09-48B7-8BFA-0799261CB0F7}">
      <text>
        <r>
          <rPr>
            <sz val="9"/>
            <color indexed="81"/>
            <rFont val="Tahoma"/>
            <family val="2"/>
          </rPr>
          <t xml:space="preserve">Le taux du PAS est récupéré automatiquement dans la Feuille TAUX NEUTRE ( dans le cas où celui-ci s'applique)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FC781C97-B05A-496E-9255-3BF049C9A36F}">
      <text>
        <r>
          <rPr>
            <sz val="9"/>
            <color indexed="81"/>
            <rFont val="Tahoma"/>
            <family val="2"/>
          </rPr>
          <t xml:space="preserve">
</t>
        </r>
        <r>
          <rPr>
            <sz val="8"/>
            <color indexed="81"/>
            <rFont val="Times New Roman"/>
            <family val="1"/>
          </rPr>
          <t xml:space="preserve">(En plus des 7 % si Salaire Brut &gt; 2,25 SMIC </t>
        </r>
      </text>
    </comment>
    <comment ref="C37" authorId="0" shapeId="0" xr:uid="{00000000-0006-0000-0500-00000A000000}">
      <text>
        <r>
          <rPr>
            <sz val="9"/>
            <color indexed="81"/>
            <rFont val="Tahoma"/>
            <family val="2"/>
          </rPr>
          <t xml:space="preserve">La limite de 2,25 SMIC pour que cette cotisation se déclenche est paramétrée sur la base de cotisation.
</t>
        </r>
      </text>
    </comment>
    <comment ref="C52" authorId="0" shapeId="0" xr:uid="{00000000-0006-0000-0500-00000B000000}">
      <text>
        <r>
          <rPr>
            <sz val="9"/>
            <color indexed="81"/>
            <rFont val="Tahoma"/>
            <family val="2"/>
          </rPr>
          <t xml:space="preserve">Les limites des bases de cotisations sont paramétrées sur un mois isolé. Le maximum de la Tranche 2 est de 7*PMSS ce qui correspond à un  salaire plafond 
 de 8*PMSS
</t>
        </r>
      </text>
    </comment>
    <comment ref="C55" authorId="0" shapeId="0" xr:uid="{00000000-0006-0000-0500-00000C000000}">
      <text>
        <r>
          <rPr>
            <sz val="9"/>
            <color indexed="81"/>
            <rFont val="Tahoma"/>
            <family val="2"/>
          </rPr>
          <t xml:space="preserve">La particularité de cette Cotisation est que lorsque le Salaire Brut est inférieur au PMSS la T1 est nulle 
</t>
        </r>
      </text>
    </comment>
    <comment ref="C59" authorId="0" shapeId="0" xr:uid="{00000000-0006-0000-0500-00000D000000}">
      <text>
        <r>
          <rPr>
            <sz val="9"/>
            <color indexed="81"/>
            <rFont val="Tahoma"/>
            <family val="2"/>
          </rPr>
          <t xml:space="preserve">La limite de 3,3 SMIC pour que cette cotisation se déclenche est paramétrée pour un mois isolé 
</t>
        </r>
      </text>
    </comment>
    <comment ref="G64" authorId="0" shapeId="0" xr:uid="{00000000-0006-0000-0500-00000E000000}">
      <text>
        <r>
          <rPr>
            <sz val="9"/>
            <color indexed="81"/>
            <rFont val="Tahoma"/>
            <family val="2"/>
          </rPr>
          <t xml:space="preserve">Ce montant est reporté depuis le calcul effectué ci-dessous en Page 2 
</t>
        </r>
      </text>
    </comment>
    <comment ref="G71" authorId="0" shapeId="0" xr:uid="{00000000-0006-0000-0500-00000F000000}">
      <text>
        <r>
          <rPr>
            <sz val="9"/>
            <color indexed="81"/>
            <rFont val="Tahoma"/>
            <family val="2"/>
          </rPr>
          <t xml:space="preserve">La REG GEN de COT. Éventuellement applicable est reprise à partir de la Feuille RED. GEN. De COT. 
</t>
        </r>
      </text>
    </comment>
    <comment ref="D83" authorId="0" shapeId="0" xr:uid="{00000000-0006-0000-0500-000012000000}">
      <text>
        <r>
          <rPr>
            <sz val="9"/>
            <color indexed="81"/>
            <rFont val="Tahoma"/>
            <family val="2"/>
          </rPr>
          <t xml:space="preserve">La base du PAS n'est pas toujours égale au Net Imposable. Cf la correction pour une explication en présence d'IJSS AT </t>
        </r>
      </text>
    </comment>
    <comment ref="F83" authorId="0" shapeId="0" xr:uid="{00000000-0006-0000-0500-000013000000}">
      <text>
        <r>
          <rPr>
            <sz val="9"/>
            <color indexed="81"/>
            <rFont val="Tahoma"/>
            <family val="2"/>
          </rPr>
          <t xml:space="preserve">Le taux du PAS est récupéré automatiquement dans la Feuille TAUX NEUTRE ( dans le cas où celui-ci s'applique) 
</t>
        </r>
      </text>
    </comment>
    <comment ref="J85" authorId="0" shapeId="0" xr:uid="{00000000-0006-0000-0500-000014000000}">
      <text>
        <r>
          <rPr>
            <sz val="9"/>
            <color indexed="81"/>
            <rFont val="Tahoma"/>
            <family val="2"/>
          </rPr>
          <t xml:space="preserve">Cette cellule reprend la montant figurant à la Ligne Exonération de Cotisations du Corps du BP (avec  un signe inversé) et ajoute à cela l 'éventuelle non application des 6 %  sur la cotisation MMID (Maladie Maternité Invalidité Décés) et la Cotisation Allocations Familiales de 1,8 % 
</t>
        </r>
      </text>
    </comment>
    <comment ref="J86" authorId="0" shapeId="0" xr:uid="{00000000-0006-0000-0500-000015000000}">
      <text>
        <r>
          <rPr>
            <sz val="9"/>
            <color indexed="81"/>
            <rFont val="Tahoma"/>
            <family val="2"/>
          </rPr>
          <t xml:space="preserve">Net à payer avant impôt sur le revenu moins le Prélévement à la Source
</t>
        </r>
      </text>
    </comment>
    <comment ref="E120" authorId="0" shapeId="0" xr:uid="{00000000-0006-0000-0500-00001A000000}">
      <text>
        <r>
          <rPr>
            <sz val="9"/>
            <color indexed="81"/>
            <rFont val="Tahoma"/>
            <family val="2"/>
          </rPr>
          <t xml:space="preserve">Ce montant est reporté à la Ligne Autres Contributions de l'Employeur du BP 
Ligne 60
</t>
        </r>
      </text>
    </comment>
    <comment ref="C123" authorId="0" shapeId="0" xr:uid="{00000000-0006-0000-0500-00001B000000}">
      <text>
        <r>
          <rPr>
            <sz val="9"/>
            <color indexed="81"/>
            <rFont val="Tahoma"/>
            <family val="2"/>
          </rPr>
          <t>Les explications détaillées de ces calculs se trouvent dans le cours</t>
        </r>
        <r>
          <rPr>
            <b/>
            <sz val="9"/>
            <color indexed="81"/>
            <rFont val="Tahoma"/>
            <family val="2"/>
          </rPr>
          <t xml:space="preserve">
</t>
        </r>
        <r>
          <rPr>
            <sz val="9"/>
            <color indexed="81"/>
            <rFont val="Tahoma"/>
            <family val="2"/>
          </rPr>
          <t>Le montant GAIN/ PERTE est reporté dans le BP à la Ligne 74</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38" authorId="0" shapeId="0" xr:uid="{00000000-0006-0000-0600-000001000000}">
      <text>
        <r>
          <rPr>
            <sz val="9"/>
            <color indexed="81"/>
            <rFont val="Tahoma"/>
            <family val="2"/>
          </rPr>
          <t xml:space="preserve">De façon à déterminer le taux de réduction de cotisations applicable aux heures supplémentaires - sont reportées  dans ce tableau les données du mois pour chacun des salariés. Ces données sont reprises automatiquement à partir du BP </t>
        </r>
      </text>
    </comment>
    <comment ref="B57" authorId="0" shapeId="0" xr:uid="{00000000-0006-0000-0600-000002000000}">
      <text>
        <r>
          <rPr>
            <sz val="9"/>
            <color indexed="81"/>
            <rFont val="Tahoma"/>
            <family val="2"/>
          </rPr>
          <t xml:space="preserve">Le montant repris dans cette cellule est celui des heures supplémentaires et complémentaires du bulletin de paie (Ligne 18  à Ligne 22
) 
</t>
        </r>
      </text>
    </comment>
    <comment ref="D57" authorId="0" shapeId="0" xr:uid="{00000000-0006-0000-0600-000003000000}">
      <text>
        <r>
          <rPr>
            <sz val="9"/>
            <color indexed="81"/>
            <rFont val="Tahoma"/>
            <family val="2"/>
          </rPr>
          <t xml:space="preserve">Pour déterminer le taux de réduction de cotisations qui est applicable aux heures supplémentaires on divise le montant trouvé Ligne 47 par le salaire brut. Ce montant ne peut dépasser 11,31% 
Le taux trouvé  ici est reporté Ligne 68 du Bulletin de Paie. </t>
        </r>
      </text>
    </comment>
    <comment ref="F57" authorId="0" shapeId="0" xr:uid="{00000000-0006-0000-0600-000004000000}">
      <text>
        <r>
          <rPr>
            <sz val="9"/>
            <color indexed="81"/>
            <rFont val="Tahoma"/>
            <family val="2"/>
          </rPr>
          <t xml:space="preserve">La réduction  s'applique tant  que les heures supplémentaires cumulées n'ont pas dépassé 8037
 euros. Si cette limite n'est pas dépassée  la réduction  est alors égale au  montant des heures supplémentaires (ou complémentaires) du mois multiplié par le taux trouvé 
</t>
        </r>
      </text>
    </comment>
    <comment ref="E62" authorId="0" shapeId="0" xr:uid="{00000000-0006-0000-0600-000006000000}">
      <text>
        <r>
          <rPr>
            <sz val="9"/>
            <color indexed="81"/>
            <rFont val="Tahoma"/>
            <family val="2"/>
          </rPr>
          <t xml:space="preserve">Lorsque le Cumul des heures supplémentaires dépasse 5358 la réduction a comme base de calcul 5358  moins le cumul du mois précédent
</t>
        </r>
      </text>
    </comment>
    <comment ref="F84" authorId="0" shapeId="0" xr:uid="{00000000-0006-0000-0600-000007000000}">
      <text>
        <r>
          <rPr>
            <sz val="9"/>
            <color indexed="81"/>
            <rFont val="Tahoma"/>
            <family val="2"/>
          </rPr>
          <t xml:space="preserve">Dans ce tableau sont repris à partir du BP  les élements nécessaires au calcul du Net imposable </t>
        </r>
      </text>
    </comment>
    <comment ref="E94" authorId="0" shapeId="0" xr:uid="{00000000-0006-0000-0600-000008000000}">
      <text>
        <r>
          <rPr>
            <sz val="9"/>
            <color indexed="81"/>
            <rFont val="Tahoma"/>
            <family val="2"/>
          </rPr>
          <t xml:space="preserve">Tant que le seuil de 8037 euros n'a pas été dépassé la CSG à 6,8 % sur les heures supplémentaires est non déductible
</t>
        </r>
      </text>
    </comment>
    <comment ref="E95" authorId="0" shapeId="0" xr:uid="{00000000-0006-0000-0600-000009000000}">
      <text>
        <r>
          <rPr>
            <sz val="9"/>
            <color indexed="81"/>
            <rFont val="Tahoma"/>
            <family val="2"/>
          </rPr>
          <t>Lorsque le montant des heures supplémentaires a dépassé 8037 euros la CSG à 6,8 % sur les heures supplémentaires ayant dépassé ce seuil est déductible</t>
        </r>
      </text>
    </comment>
    <comment ref="E103" authorId="0" shapeId="0" xr:uid="{00000000-0006-0000-0600-00000A000000}">
      <text>
        <r>
          <rPr>
            <sz val="9"/>
            <color indexed="81"/>
            <rFont val="Tahoma"/>
            <family val="2"/>
          </rPr>
          <t xml:space="preserve">Les heures Supplémentaires au-delà de 8037 euros ne sont pas déductibles fiscalement et sont donc imposables à l'Impôt sur le revenu
</t>
        </r>
      </text>
    </comment>
    <comment ref="F103" authorId="0" shapeId="0" xr:uid="{00000000-0006-0000-0600-00000B000000}">
      <text>
        <r>
          <rPr>
            <sz val="9"/>
            <color indexed="81"/>
            <rFont val="Tahoma"/>
            <family val="2"/>
          </rPr>
          <t xml:space="preserve">La partie des heures supplémentaires cumulées qui dépasse 8037 euros devient imposable
</t>
        </r>
      </text>
    </comment>
    <comment ref="E105" authorId="0" shapeId="0" xr:uid="{00000000-0006-0000-0600-00000C000000}">
      <text>
        <r>
          <rPr>
            <sz val="9"/>
            <color indexed="81"/>
            <rFont val="Tahoma"/>
            <family val="2"/>
          </rPr>
          <t xml:space="preserve">Ce montant est reporté dans le BP 
</t>
        </r>
      </text>
    </comment>
    <comment ref="D129" authorId="0" shapeId="0" xr:uid="{1A55DE91-DD69-4D94-BA80-912DD261B817}">
      <text>
        <r>
          <rPr>
            <sz val="9"/>
            <color indexed="81"/>
            <rFont val="Tahoma"/>
            <family val="2"/>
          </rPr>
          <t xml:space="preserve">Lorsque le Salaire Brut est supérieur à 4 *PMSS la base CSG CRDS est calculée sur 0,9825 * 4 * PMSS + Brut - 4 * PMSS </t>
        </r>
        <r>
          <rPr>
            <b/>
            <sz val="9"/>
            <color indexed="81"/>
            <rFont val="Tahoma"/>
            <family val="2"/>
          </rPr>
          <t xml:space="preserve">
</t>
        </r>
        <r>
          <rPr>
            <sz val="9"/>
            <color indexed="81"/>
            <rFont val="Tahoma"/>
            <family val="2"/>
          </rPr>
          <t xml:space="preserve">
</t>
        </r>
      </text>
    </comment>
    <comment ref="D133" authorId="0" shapeId="0" xr:uid="{2C35A6B5-D193-4E82-8BDF-ED7D358A2C83}">
      <text>
        <r>
          <rPr>
            <sz val="9"/>
            <color indexed="81"/>
            <rFont val="Tahoma"/>
            <family val="2"/>
          </rPr>
          <t xml:space="preserve">Dans les cellules de calcul ci-dessous les formules commencent par voir si le Salaire brut total est supérieur ou non à la limite de 4 *PMSS </t>
        </r>
        <r>
          <rPr>
            <b/>
            <sz val="9"/>
            <color indexed="81"/>
            <rFont val="Tahoma"/>
            <family val="2"/>
          </rPr>
          <t xml:space="preserve">
</t>
        </r>
        <r>
          <rPr>
            <sz val="9"/>
            <color indexed="81"/>
            <rFont val="Tahoma"/>
            <family val="2"/>
          </rPr>
          <t xml:space="preserve">
</t>
        </r>
      </text>
    </comment>
    <comment ref="D134" authorId="0" shapeId="0" xr:uid="{04F48570-F6E7-4366-8D9D-309BA1CF9070}">
      <text>
        <r>
          <rPr>
            <b/>
            <sz val="9"/>
            <color indexed="81"/>
            <rFont val="Tahoma"/>
            <family val="2"/>
          </rPr>
          <t>Bienvenue:</t>
        </r>
        <r>
          <rPr>
            <sz val="9"/>
            <color indexed="81"/>
            <rFont val="Tahoma"/>
            <family val="2"/>
          </rPr>
          <t xml:space="preserve">
La base CSG CRDS comprend en particulier la PP des cotisations santé (mutuelles) Prévoyance et Retraite Supplémentaire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B4" authorId="0" shapeId="0" xr:uid="{761CE5B4-B86C-4449-80EA-EB9F7D979540}">
      <text>
        <r>
          <rPr>
            <sz val="9"/>
            <color indexed="81"/>
            <rFont val="Tahoma"/>
            <family val="2"/>
          </rPr>
          <t xml:space="preserve">
</t>
        </r>
        <r>
          <rPr>
            <sz val="8"/>
            <color indexed="81"/>
            <rFont val="Times New Roman"/>
            <family val="1"/>
          </rPr>
          <t xml:space="preserve">(En plus des 7 % si Salaire Brut &gt; 2,2
5 SMIC </t>
        </r>
      </text>
    </comment>
    <comment ref="D4" authorId="0" shapeId="0" xr:uid="{746E1C7E-2103-47D7-AA70-50961CFD6732}">
      <text>
        <r>
          <rPr>
            <sz val="9"/>
            <color indexed="81"/>
            <rFont val="Tahoma"/>
            <family val="2"/>
          </rPr>
          <t>La limite de 2,25 SMIC pour que cette cotisation se déclenche est paramétrée sur la base du  SMICHoraire applicable  au 31.12.2023 soit 11,52 en attente d'un décret d'application
La tendance serait cependant d'appliquer le SMICHoraire au 01/01/2025</t>
        </r>
      </text>
    </comment>
    <comment ref="B5" authorId="0" shapeId="0" xr:uid="{F0163194-6714-4BAB-8742-114C123ED7E8}">
      <text>
        <r>
          <rPr>
            <sz val="9"/>
            <color indexed="81"/>
            <rFont val="Tahoma"/>
            <family val="2"/>
          </rPr>
          <t xml:space="preserve">Taux propre à chaque entreprise 
</t>
        </r>
      </text>
    </comment>
    <comment ref="B6" authorId="0" shapeId="0" xr:uid="{67C48B33-CABC-472C-ACDA-F0A44CB19146}">
      <text>
        <r>
          <rPr>
            <sz val="9"/>
            <color indexed="81"/>
            <rFont val="Tahoma"/>
            <family val="2"/>
          </rPr>
          <t xml:space="preserve">Taux propre à chaque entreprise
</t>
        </r>
      </text>
    </comment>
    <comment ref="B8" authorId="0" shapeId="0" xr:uid="{7A62E19A-C0FF-48CC-A433-C2F7ACE7D5A6}">
      <text>
        <r>
          <rPr>
            <sz val="9"/>
            <color indexed="81"/>
            <rFont val="Tahoma"/>
            <family val="2"/>
          </rPr>
          <t xml:space="preserve">
La cotisation Accident du Tavail t Maladies Professionnelles est variable suivant les entreprises et au sein des entrepriss peut être différente selon les postes occupés par les salariés.</t>
        </r>
      </text>
    </comment>
    <comment ref="D11" authorId="0" shapeId="0" xr:uid="{6D38D4EF-8F63-4A39-96D7-DA1A2FA635D5}">
      <text>
        <r>
          <rPr>
            <sz val="9"/>
            <color indexed="81"/>
            <rFont val="Tahoma"/>
            <family val="2"/>
          </rPr>
          <t>La limite de 3,3 SMIC pour que cette cotisation se déclenche est paramétrée sur la base  d'un SMICHoraire applicable au 31/12/2023 en attente d'un décret d'application. La tendance serait  cependant d'appliquer le SMICHoraire au 01/01/2025</t>
        </r>
      </text>
    </comment>
    <comment ref="B26" authorId="0" shapeId="0" xr:uid="{7F065A95-A282-4322-A5A5-531D13AF68AB}">
      <text>
        <r>
          <rPr>
            <b/>
            <sz val="9"/>
            <color indexed="81"/>
            <rFont val="Tahoma"/>
            <family val="2"/>
          </rPr>
          <t xml:space="preserve"> </t>
        </r>
        <r>
          <rPr>
            <sz val="9"/>
            <color indexed="81"/>
            <rFont val="Tahoma"/>
            <family val="2"/>
          </rPr>
          <t xml:space="preserve">Effectif salariés &lt; 50 </t>
        </r>
      </text>
    </comment>
    <comment ref="B27" authorId="0" shapeId="0" xr:uid="{E05F7163-6CD7-494E-A3EA-ACF8A2145A37}">
      <text>
        <r>
          <rPr>
            <sz val="9"/>
            <color indexed="81"/>
            <rFont val="Tahoma"/>
            <family val="2"/>
          </rPr>
          <t xml:space="preserve">
Effectif salariés &gt; = 50</t>
        </r>
      </text>
    </comment>
    <comment ref="B28" authorId="0" shapeId="0" xr:uid="{575C48A4-C328-42D2-AB39-F9A6E45F5C37}">
      <text>
        <r>
          <rPr>
            <sz val="9"/>
            <color indexed="81"/>
            <rFont val="Tahoma"/>
            <family val="2"/>
          </rPr>
          <t xml:space="preserve">(Taux Variable) Applicable Si Effectif salariés &gt;= 11
</t>
        </r>
      </text>
    </comment>
    <comment ref="E28" authorId="0" shapeId="0" xr:uid="{185F0BA8-C24E-4F88-8211-5041319057D1}">
      <text>
        <r>
          <rPr>
            <sz val="9"/>
            <color indexed="81"/>
            <rFont val="Tahoma"/>
            <family val="2"/>
          </rPr>
          <t xml:space="preserve">Taux applicable pour Paris et la petite couronne (Hauts-de-Seine, de la Seine-Saint-Denis et du Val-de-Marne) à compter du 01/02/2024 l(e taux est passé de 2,95% à 3,2%)
</t>
        </r>
        <r>
          <rPr>
            <b/>
            <sz val="9"/>
            <color indexed="81"/>
            <rFont val="Tahoma"/>
            <family val="2"/>
          </rPr>
          <t xml:space="preserve">
 </t>
        </r>
        <r>
          <rPr>
            <sz val="9"/>
            <color indexed="81"/>
            <rFont val="Tahoma"/>
            <family val="2"/>
          </rPr>
          <t xml:space="preserve">
</t>
        </r>
      </text>
    </comment>
    <comment ref="B30" authorId="0" shapeId="0" xr:uid="{79603FEE-3673-474E-B039-D7127CF85D8F}">
      <text>
        <r>
          <rPr>
            <b/>
            <sz val="9"/>
            <color indexed="81"/>
            <rFont val="Tahoma"/>
            <family val="2"/>
          </rPr>
          <t xml:space="preserve"> </t>
        </r>
        <r>
          <rPr>
            <sz val="9"/>
            <color indexed="81"/>
            <rFont val="Tahoma"/>
            <family val="2"/>
          </rPr>
          <t>Si Effectif salariés &gt;= 11)</t>
        </r>
      </text>
    </comment>
    <comment ref="B34" authorId="0" shapeId="0" xr:uid="{CDE49048-B6E7-4D15-9239-C1DD407707AD}">
      <text>
        <r>
          <rPr>
            <sz val="9"/>
            <color indexed="81"/>
            <rFont val="Tahoma"/>
            <family val="2"/>
          </rPr>
          <t>(Si Effectifs salariés &gt; = 11 )</t>
        </r>
      </text>
    </comment>
    <comment ref="B35" authorId="0" shapeId="0" xr:uid="{455ECEAE-A9EF-4F28-925C-EB0E325171B0}">
      <text>
        <r>
          <rPr>
            <sz val="9"/>
            <color indexed="81"/>
            <rFont val="Tahoma"/>
            <family val="2"/>
          </rPr>
          <t xml:space="preserve">(Si Effectifs salariés &lt; 11 )
</t>
        </r>
      </text>
    </comment>
    <comment ref="B36" authorId="0" shapeId="0" xr:uid="{425CE5CB-0071-4038-8276-EAEDF6BBC74D}">
      <text>
        <r>
          <rPr>
            <b/>
            <sz val="9"/>
            <color indexed="81"/>
            <rFont val="Tahoma"/>
            <family val="2"/>
          </rPr>
          <t xml:space="preserve"> 
</t>
        </r>
        <r>
          <rPr>
            <sz val="9"/>
            <color indexed="81"/>
            <rFont val="Tahoma"/>
            <family val="2"/>
          </rPr>
          <t xml:space="preserve">Si Effectifs Salariés &gt;=50 salariés (1)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Bienvenue</author>
  </authors>
  <commentList>
    <comment ref="A37" authorId="0" shapeId="0" xr:uid="{86A20733-1660-45A0-B02E-F2ACE77D51B5}">
      <text>
        <r>
          <rPr>
            <sz val="9"/>
            <color indexed="81"/>
            <rFont val="Tahoma"/>
            <family val="2"/>
          </rPr>
          <t xml:space="preserve">
</t>
        </r>
        <r>
          <rPr>
            <sz val="8"/>
            <color indexed="81"/>
            <rFont val="Times New Roman"/>
            <family val="1"/>
          </rPr>
          <t xml:space="preserve">(En plus des 7 % si Salaire Brut &gt; 2,25 SMIC </t>
        </r>
      </text>
    </comment>
    <comment ref="D83" authorId="0" shapeId="0" xr:uid="{E599F2DB-DFA1-4FF0-8141-9BAECEE68CEB}">
      <text>
        <r>
          <rPr>
            <sz val="9"/>
            <color indexed="81"/>
            <rFont val="Tahoma"/>
            <family val="2"/>
          </rPr>
          <t xml:space="preserve">La base du PAS n'est pas toujours égale au Net Imposable. Cf la correction pour une explication en présence d'IJSS AT </t>
        </r>
      </text>
    </comment>
    <comment ref="F83" authorId="0" shapeId="0" xr:uid="{B0C7397C-A2A2-4A89-AEEC-D7AB6EAAC2BC}">
      <text>
        <r>
          <rPr>
            <sz val="9"/>
            <color indexed="81"/>
            <rFont val="Tahoma"/>
            <family val="2"/>
          </rPr>
          <t xml:space="preserve">Le taux du PAS est récupéré automatiquement dans la Feuille TAUX NEUTRE ( dans le cas où celui-ci s'applique) 
</t>
        </r>
      </text>
    </comment>
  </commentList>
</comments>
</file>

<file path=xl/sharedStrings.xml><?xml version="1.0" encoding="utf-8"?>
<sst xmlns="http://schemas.openxmlformats.org/spreadsheetml/2006/main" count="1090" uniqueCount="587">
  <si>
    <t>EMPLOYEUR</t>
  </si>
  <si>
    <t>SALARIE</t>
  </si>
  <si>
    <t>Nom :</t>
  </si>
  <si>
    <t>Adresse :</t>
  </si>
  <si>
    <t>Prénom :</t>
  </si>
  <si>
    <t>Emploi :</t>
  </si>
  <si>
    <t>N° SIRET</t>
  </si>
  <si>
    <t>Position :</t>
  </si>
  <si>
    <t>Code APE</t>
  </si>
  <si>
    <t>N° de S.S. :</t>
  </si>
  <si>
    <t>URSSAF</t>
  </si>
  <si>
    <t>Effectif</t>
  </si>
  <si>
    <t>Statut = C ou NC ou D</t>
  </si>
  <si>
    <t xml:space="preserve">Heures URSSAF </t>
  </si>
  <si>
    <t xml:space="preserve">SMICH </t>
  </si>
  <si>
    <t>Au :</t>
  </si>
  <si>
    <t xml:space="preserve">Payé le </t>
  </si>
  <si>
    <t xml:space="preserve"> Salaire de base</t>
  </si>
  <si>
    <t>à</t>
  </si>
  <si>
    <t xml:space="preserve">Avantages en nature </t>
  </si>
  <si>
    <t xml:space="preserve">à </t>
  </si>
  <si>
    <t>Commissions</t>
  </si>
  <si>
    <t>Maintien du salaire</t>
  </si>
  <si>
    <t xml:space="preserve">IJSS Brute </t>
  </si>
  <si>
    <t xml:space="preserve">Garantie du Net </t>
  </si>
  <si>
    <t xml:space="preserve">Indemnité de congés payés </t>
  </si>
  <si>
    <t>Indemnité compensatrice de congés payés</t>
  </si>
  <si>
    <t xml:space="preserve">Indemnité de licenciement </t>
  </si>
  <si>
    <t>Prime annuelle</t>
  </si>
  <si>
    <t>PLAFOND S.S.  :</t>
  </si>
  <si>
    <t>SALAIRE BRUT TOTAL</t>
  </si>
  <si>
    <t xml:space="preserve">Cotisations et contributions sociales </t>
  </si>
  <si>
    <t>Base</t>
  </si>
  <si>
    <t xml:space="preserve">Tx Salarial </t>
  </si>
  <si>
    <t xml:space="preserve">Tx patronal </t>
  </si>
  <si>
    <t xml:space="preserve">Part salariale </t>
  </si>
  <si>
    <t xml:space="preserve">Part patronale </t>
  </si>
  <si>
    <t xml:space="preserve">SANTE </t>
  </si>
  <si>
    <t xml:space="preserve">ACCIDENT DU TRAVAIL - MALADIES PROFESSIONNELLES </t>
  </si>
  <si>
    <t xml:space="preserve">RETRAITE </t>
  </si>
  <si>
    <t>Sécurité Sociale Plafonnée</t>
  </si>
  <si>
    <t xml:space="preserve">Sécurité Sociale déplafonnée </t>
  </si>
  <si>
    <t>Complémentaire T1</t>
  </si>
  <si>
    <t xml:space="preserve">Complémentaire T2 </t>
  </si>
  <si>
    <t xml:space="preserve">FAMILLE  </t>
  </si>
  <si>
    <t xml:space="preserve">ASSURANCE CHOMAGE </t>
  </si>
  <si>
    <t xml:space="preserve">AUTRES CONTRIBUTIONS DUES PAR L'EMPLOYEUR </t>
  </si>
  <si>
    <t>Forfait social</t>
  </si>
  <si>
    <t xml:space="preserve">COTISATIONS STATUTAIRES OU PREVUES PAR LA CONVENTION COLLECTIVE  </t>
  </si>
  <si>
    <t xml:space="preserve">C.S.G  déductible de l'impôt sur le revenu </t>
  </si>
  <si>
    <t xml:space="preserve">C.S.G./ C.R.D.S non déductible de l'impôt sur le revenu </t>
  </si>
  <si>
    <t xml:space="preserve">CSG  6,8 % sur Heures Supplémentaires  Non déductible </t>
  </si>
  <si>
    <t xml:space="preserve">CSG  6,8 % sur Heures supplémentaires Déductible </t>
  </si>
  <si>
    <t>CSG / CRDS 2,9 %  (Non déductible) sur Heures Supplémentaires</t>
  </si>
  <si>
    <t xml:space="preserve">Réduction cotisations heures supplémentaires , complémentaires et autres </t>
  </si>
  <si>
    <t xml:space="preserve">Total des Cotisations et Contributions </t>
  </si>
  <si>
    <t>Indemnité de transport</t>
  </si>
  <si>
    <t xml:space="preserve">Dont évolution de la rémunération liée à la suppression des cotisations maladie et assurance chômage  </t>
  </si>
  <si>
    <t xml:space="preserve">Total versé par l'employeur </t>
  </si>
  <si>
    <t>« Pour plus d’informations, voir la rubrique dédiée au bulletin de paye sur www.service-public.fr ».</t>
  </si>
  <si>
    <t xml:space="preserve">Base </t>
  </si>
  <si>
    <t>Montant</t>
  </si>
  <si>
    <t xml:space="preserve">Net imposable </t>
  </si>
  <si>
    <t xml:space="preserve">Pour faire valoir vos droits conservez ce bulletin de paie sans limitation de durée </t>
  </si>
  <si>
    <t xml:space="preserve">Mois </t>
  </si>
  <si>
    <t xml:space="preserve">NET A PAYER AVANT IMPOT SUR LE REVENU </t>
  </si>
  <si>
    <t xml:space="preserve">Impöt sur le revenu </t>
  </si>
  <si>
    <t xml:space="preserve">Taux personnalisé / Taux non personnalisé </t>
  </si>
  <si>
    <t xml:space="preserve">Allégement de cotisations employeur </t>
  </si>
  <si>
    <t>Libellé</t>
  </si>
  <si>
    <t>Cotisations 
salariales</t>
  </si>
  <si>
    <t>Cotisations 
patronales</t>
  </si>
  <si>
    <t xml:space="preserve">Allocations familiales Taux de base </t>
  </si>
  <si>
    <t>Contribution de solidarité pour l'autonomie</t>
  </si>
  <si>
    <t xml:space="preserve">Contribution dialogue social </t>
  </si>
  <si>
    <t>Contribution d'équilibre général  T1 (CEG T1)</t>
  </si>
  <si>
    <t>Contribution d'équilibre général  T2 (CEG T2)</t>
  </si>
  <si>
    <t>Contribution d'équilibre Technique  T1 (CET T1)</t>
  </si>
  <si>
    <t xml:space="preserve">Contribution d'équilibre Technique  T2 (CET T2) </t>
  </si>
  <si>
    <t>Taxe d'apprentissage</t>
  </si>
  <si>
    <t>Formation professionnelle</t>
  </si>
  <si>
    <t xml:space="preserve">1,5 euro / Heure suppl </t>
  </si>
  <si>
    <t xml:space="preserve">POLE SANTE </t>
  </si>
  <si>
    <t xml:space="preserve">POLE RETRAITE </t>
  </si>
  <si>
    <t xml:space="preserve">AUTRES CONTRIBUTIONS </t>
  </si>
  <si>
    <t xml:space="preserve">Participation à l'effort de construction </t>
  </si>
  <si>
    <t>Sécurité Sociale Maladie Maternité Invalidité Décés 1.</t>
  </si>
  <si>
    <t xml:space="preserve">Montant patronal </t>
  </si>
  <si>
    <t>PS</t>
  </si>
  <si>
    <t>PP</t>
  </si>
  <si>
    <t>MOIS</t>
  </si>
  <si>
    <t xml:space="preserve">Autres contributions </t>
  </si>
  <si>
    <t xml:space="preserve">Forfait social </t>
  </si>
  <si>
    <t>Taux patronal</t>
  </si>
  <si>
    <t xml:space="preserve">FNAL Base plafonnée </t>
  </si>
  <si>
    <t xml:space="preserve">FNAL Totalité </t>
  </si>
  <si>
    <t xml:space="preserve">TOTAL </t>
  </si>
  <si>
    <t>Suppression de la cotisation maladie applicable au 31/12/2017</t>
  </si>
  <si>
    <t>Montant de la part salariale de cotisation chômage supprimée</t>
  </si>
  <si>
    <t xml:space="preserve">Augmentation de la CSG CRDS </t>
  </si>
  <si>
    <t xml:space="preserve">GAIN / PERTE </t>
  </si>
  <si>
    <t xml:space="preserve">Pris </t>
  </si>
  <si>
    <t xml:space="preserve">Mt Pat </t>
  </si>
  <si>
    <t xml:space="preserve">Base du PAS </t>
  </si>
  <si>
    <t>Taux</t>
  </si>
  <si>
    <t>Tranche inférieure</t>
  </si>
  <si>
    <t>Tranche Supérieure</t>
  </si>
  <si>
    <t xml:space="preserve">Taux </t>
  </si>
  <si>
    <t xml:space="preserve">Acquis </t>
  </si>
  <si>
    <t>JANVIER</t>
  </si>
  <si>
    <t>MARS</t>
  </si>
  <si>
    <t>JUIN</t>
  </si>
  <si>
    <t>OCTOBRE</t>
  </si>
  <si>
    <t>MAI</t>
  </si>
  <si>
    <t>JUILLET</t>
  </si>
  <si>
    <t>AOÛT</t>
  </si>
  <si>
    <t>SEPTEMBRE</t>
  </si>
  <si>
    <t>NOVEMBRE</t>
  </si>
  <si>
    <t>DÉCEMBRE</t>
  </si>
  <si>
    <t xml:space="preserve">Montant à reporter sur le Bulletin de paie </t>
  </si>
  <si>
    <t xml:space="preserve">Tableau 1. </t>
  </si>
  <si>
    <t>BRUT</t>
  </si>
  <si>
    <t>PLAFOND</t>
  </si>
  <si>
    <t>PLAFOND CUMULE</t>
  </si>
  <si>
    <t xml:space="preserve">BRUT CUMULE </t>
  </si>
  <si>
    <t xml:space="preserve">TA  / T1  CUMULEE </t>
  </si>
  <si>
    <t xml:space="preserve">TA  / T1 du MOIS </t>
  </si>
  <si>
    <t xml:space="preserve">TB CUMULEE </t>
  </si>
  <si>
    <t xml:space="preserve">TB du MOIS </t>
  </si>
  <si>
    <t xml:space="preserve">T2 CUMULEE </t>
  </si>
  <si>
    <t xml:space="preserve">T2 du mois </t>
  </si>
  <si>
    <t>FEVRIER</t>
  </si>
  <si>
    <t>AVRIL</t>
  </si>
  <si>
    <t xml:space="preserve">Tableau 2 </t>
  </si>
  <si>
    <t xml:space="preserve">Contribution d'Equilibre Technique CET T1 / CET T2 </t>
  </si>
  <si>
    <t>Colonne 1</t>
  </si>
  <si>
    <t>Colonne 2</t>
  </si>
  <si>
    <t>Colonne 3</t>
  </si>
  <si>
    <t>Colonne 4</t>
  </si>
  <si>
    <t>Colonne 5</t>
  </si>
  <si>
    <t>Colonne 6</t>
  </si>
  <si>
    <t>Colonne 7</t>
  </si>
  <si>
    <t>Colonne 8</t>
  </si>
  <si>
    <t>Colonne 9</t>
  </si>
  <si>
    <t xml:space="preserve"> T1  CUMULEE </t>
  </si>
  <si>
    <t xml:space="preserve">T1 du MOIS </t>
  </si>
  <si>
    <t xml:space="preserve">Janvier </t>
  </si>
  <si>
    <t xml:space="preserve">Février </t>
  </si>
  <si>
    <t xml:space="preserve">Mai </t>
  </si>
  <si>
    <t>Juin</t>
  </si>
  <si>
    <t xml:space="preserve">Juillet </t>
  </si>
  <si>
    <t xml:space="preserve">Base du mois </t>
  </si>
  <si>
    <t xml:space="preserve">Montants  du mois </t>
  </si>
  <si>
    <t xml:space="preserve">Tableau 2. </t>
  </si>
  <si>
    <t xml:space="preserve">Suivi Heures supplémentaires / Heures complémentaires </t>
  </si>
  <si>
    <t xml:space="preserve">Montant des heures supp/ Compl du mois </t>
  </si>
  <si>
    <t xml:space="preserve">Réduction  du mois </t>
  </si>
  <si>
    <t>Février</t>
  </si>
  <si>
    <t>Mars</t>
  </si>
  <si>
    <t>Avril</t>
  </si>
  <si>
    <t>Mai</t>
  </si>
  <si>
    <t>Juillet</t>
  </si>
  <si>
    <t>Août</t>
  </si>
  <si>
    <t>Septembre</t>
  </si>
  <si>
    <t>Octobre</t>
  </si>
  <si>
    <t>Novembre</t>
  </si>
  <si>
    <t>Décembre</t>
  </si>
  <si>
    <t xml:space="preserve">Salaire brut hors Heures suppl / compl et hors AN </t>
  </si>
  <si>
    <t>Heures Suppl / Compl</t>
  </si>
  <si>
    <t>CSG CRDS 2,9 %  Non déductible Hors Hsuppl / Compl</t>
  </si>
  <si>
    <t>CSG 6,8 % Non déductible Hsuppl / Compl</t>
  </si>
  <si>
    <t>CSG 6,8 % Déductible sur Hsuppl / Compl</t>
  </si>
  <si>
    <t>CSG  CRDS 2,9 % Non déductible sur Hsuppl / Compl</t>
  </si>
  <si>
    <t xml:space="preserve">Total des cotisations salariales </t>
  </si>
  <si>
    <t xml:space="preserve">Total PP mutuelles frais de santé </t>
  </si>
  <si>
    <t xml:space="preserve">Heures supplémentaires cumulées </t>
  </si>
  <si>
    <t xml:space="preserve">Heures supplémentaires du mois </t>
  </si>
  <si>
    <t>Salaire brut hors hsupp</t>
  </si>
  <si>
    <t>hsupp</t>
  </si>
  <si>
    <t xml:space="preserve">Brut total cumulé </t>
  </si>
  <si>
    <t xml:space="preserve">pmss Cumulé </t>
  </si>
  <si>
    <t>4 PMSS Cumulé</t>
  </si>
  <si>
    <t xml:space="preserve">PP Cotisations frais de santé et hors frais de santé </t>
  </si>
  <si>
    <t xml:space="preserve">Base CSG CRDS  hors HSUPP </t>
  </si>
  <si>
    <t xml:space="preserve">Base CSG CRDS HSUPP </t>
  </si>
  <si>
    <t xml:space="preserve">Versement Mobilité </t>
  </si>
  <si>
    <t>Salaire brut</t>
  </si>
  <si>
    <t xml:space="preserve">Cas du dépassement de la limite de 4*PMSS et Base CSG CRDS </t>
  </si>
  <si>
    <t>Salaire de base hors HS</t>
  </si>
  <si>
    <t xml:space="preserve">Heures Suppl et Compl. </t>
  </si>
  <si>
    <t xml:space="preserve">Limite </t>
  </si>
  <si>
    <t xml:space="preserve">Prévoyance et mutuelle </t>
  </si>
  <si>
    <t>CSG Non déductible Heures Suppl</t>
  </si>
  <si>
    <t xml:space="preserve">CSG déductible sur Heures Sup </t>
  </si>
  <si>
    <t>CSG / CRDS Non déductible hors heures Supp</t>
  </si>
  <si>
    <t>CSG CRDS Non Déductible sur Heures Sup</t>
  </si>
  <si>
    <t xml:space="preserve">Réduction de Cotisation sur heures Sup </t>
  </si>
  <si>
    <t>CSG  déductible Hors Heures Sup.</t>
  </si>
  <si>
    <t xml:space="preserve">PP des TR à réintégrer  </t>
  </si>
  <si>
    <t xml:space="preserve">MARTINO </t>
  </si>
  <si>
    <t xml:space="preserve">Rapport au salaire brut </t>
  </si>
  <si>
    <t xml:space="preserve">1. Détermination du taux de réduction de cotisations applicable aux heures supplémentairs ( Cellule E 68 du Bulletin de Paie)  </t>
  </si>
  <si>
    <t xml:space="preserve">Mutuelle Cadres </t>
  </si>
  <si>
    <t>Mars MARTINO</t>
  </si>
  <si>
    <t xml:space="preserve">Salarié X </t>
  </si>
  <si>
    <t>Salarié Y</t>
  </si>
  <si>
    <t xml:space="preserve">Sécurité sociale Maladie Maternité Invalidité Décés 2. </t>
  </si>
  <si>
    <t>Assurance décés des cadres  (TA)</t>
  </si>
  <si>
    <t>Maintien de salaire TA</t>
  </si>
  <si>
    <t xml:space="preserve">Maintien de salaire TB </t>
  </si>
  <si>
    <t>Chômage ( TA+TB)</t>
  </si>
  <si>
    <t xml:space="preserve">URSSAF FNAL Taux réduit  TA </t>
  </si>
  <si>
    <t xml:space="preserve">URSSAF FNAL Totalité </t>
  </si>
  <si>
    <t xml:space="preserve">Formation professionnelle </t>
  </si>
  <si>
    <t xml:space="preserve">Tickets restaurant Exonération maximale de la Part Patronale </t>
  </si>
  <si>
    <t>Départements</t>
  </si>
  <si>
    <t>Paris (75) et départements des Hauts-de-Seine (92)</t>
  </si>
  <si>
    <t>2,95 %</t>
  </si>
  <si>
    <t>Départements de la Seine-Saint-Denis et du Val-de-Marne</t>
  </si>
  <si>
    <t>Communes de la région parisienne autres que Paris et les communes du département des Hauts-de-Seine, de la Seine-Saint-Denis et du Val-de-Marne (cf. ci-après)</t>
  </si>
  <si>
    <t xml:space="preserve">Consulter les taux applicables sur le site  de URSSAF à l'adresse suivante : </t>
  </si>
  <si>
    <r>
      <t xml:space="preserve">  </t>
    </r>
    <r>
      <rPr>
        <i/>
        <sz val="11"/>
        <color theme="1"/>
        <rFont val="Times New Roman"/>
        <family val="1"/>
      </rPr>
      <t xml:space="preserve"> https://www.urssaf.fr/portail/home/taux-et-baremes/versement-mobilite.html</t>
    </r>
  </si>
  <si>
    <t xml:space="preserve">DFHS entreprises de 20 à moins de 250 salariés </t>
  </si>
  <si>
    <t>0,5 euro / Heure Suppl</t>
  </si>
  <si>
    <t xml:space="preserve">Déduction forfaitaire sur les Heures supplémentaires  moins de 20 salariés </t>
  </si>
  <si>
    <t xml:space="preserve">Pass Navigo RP </t>
  </si>
  <si>
    <t>AGS (TA+TB)</t>
  </si>
  <si>
    <t>C</t>
  </si>
  <si>
    <t xml:space="preserve">Forfait social sur Retraite Supplémentaire Art 83 </t>
  </si>
  <si>
    <t xml:space="preserve">Heures supplémentaires ayant dépassé 8037  euros </t>
  </si>
  <si>
    <t>Heures supplémentaires du mois Cumulées  au-dela de 8037</t>
  </si>
  <si>
    <t>Heures supplémentaires du mois  au-dela de 8037</t>
  </si>
  <si>
    <t xml:space="preserve">Montant Net Social </t>
  </si>
  <si>
    <t xml:space="preserve">Net Imposable </t>
  </si>
  <si>
    <t xml:space="preserve">Montant net des heures supplémentaires / Complémentaires/ RTT Exonérées </t>
  </si>
  <si>
    <t xml:space="preserve">Impöt sur le revenu Prélevé à la source </t>
  </si>
  <si>
    <t>EXONERATIONS, ECRETEMENTS ET ALLEGEMENTS DE COTISATIONS</t>
  </si>
  <si>
    <t xml:space="preserve">Net à payer au salarié </t>
  </si>
  <si>
    <t xml:space="preserve">          BULLETIN  DE  SALAIRE</t>
  </si>
  <si>
    <t xml:space="preserve">  PERIODE DU  :</t>
  </si>
  <si>
    <t xml:space="preserve">AN TR </t>
  </si>
  <si>
    <t>Heures complémentaires à + 10 %</t>
  </si>
  <si>
    <t xml:space="preserve">Heures complémentaires à + 25 % </t>
  </si>
  <si>
    <t xml:space="preserve">Heures supplémentaires à + 10 % </t>
  </si>
  <si>
    <t xml:space="preserve"> Heures supplémentaires  à  + 25 %</t>
  </si>
  <si>
    <t xml:space="preserve"> Heures supplémentaires  à  + 50 %</t>
  </si>
  <si>
    <t>Chômage</t>
  </si>
  <si>
    <t xml:space="preserve">Reste </t>
  </si>
  <si>
    <t xml:space="preserve">Acquis sur le mois </t>
  </si>
  <si>
    <t xml:space="preserve">CSG sur Heures Supplémentaires  Non déductible </t>
  </si>
  <si>
    <t xml:space="preserve">CSG sur Heures supplémentaires Déductible </t>
  </si>
  <si>
    <t>CSG / CRDS (Non déductible) sur Heures Supplémentaires</t>
  </si>
  <si>
    <t>(2,4 -0,95)</t>
  </si>
  <si>
    <t xml:space="preserve">Attention : calculée sur la TA+TB </t>
  </si>
  <si>
    <t xml:space="preserve">A  compter du 1 er Octobre </t>
  </si>
  <si>
    <t>(2,4 )</t>
  </si>
  <si>
    <t xml:space="preserve">Mutuelle Non Cadres </t>
  </si>
  <si>
    <t xml:space="preserve">Allocations Familiales Taux de Base </t>
  </si>
  <si>
    <t xml:space="preserve">Allocations Famliales Taux Majoré </t>
  </si>
  <si>
    <t xml:space="preserve">Cotisations et Contributions Sociales Facultatives </t>
  </si>
  <si>
    <t xml:space="preserve">Prévoyance Complémentaire Non Cadres </t>
  </si>
  <si>
    <t xml:space="preserve">Prévoyance Complémentaire Cadres </t>
  </si>
  <si>
    <t>Tickets Restaurant PS et PP</t>
  </si>
  <si>
    <t xml:space="preserve">IndemnIté de Transport </t>
  </si>
  <si>
    <t xml:space="preserve">A </t>
  </si>
  <si>
    <t>B</t>
  </si>
  <si>
    <t>D</t>
  </si>
  <si>
    <t>E</t>
  </si>
  <si>
    <t>F</t>
  </si>
  <si>
    <t>G</t>
  </si>
  <si>
    <t xml:space="preserve">Cotisations et Contributions Obligatoires </t>
  </si>
  <si>
    <t xml:space="preserve">FAMILLE </t>
  </si>
  <si>
    <t xml:space="preserve">ASSURANCE CHÔMAGE </t>
  </si>
  <si>
    <t xml:space="preserve">Cotisations et Contributions Facultatives </t>
  </si>
  <si>
    <t xml:space="preserve">PS </t>
  </si>
  <si>
    <t>CEG T1</t>
  </si>
  <si>
    <t xml:space="preserve">CEG T2 </t>
  </si>
  <si>
    <t>CET T1</t>
  </si>
  <si>
    <t>CET T2</t>
  </si>
  <si>
    <t>Sécurité sociale Maladie Maternité Invalidité Décés 1.</t>
  </si>
  <si>
    <t xml:space="preserve">Salaire Brut Inférieur au PMSS </t>
  </si>
  <si>
    <t>Salaire Brut supérieur au PMSS</t>
  </si>
  <si>
    <t>Complémentaire T1  (sur le BP)</t>
  </si>
  <si>
    <t xml:space="preserve">Complémentaire T2 (sur le BP) </t>
  </si>
  <si>
    <t>Versement de  mobilité</t>
  </si>
  <si>
    <t>APEC (TA+TB)</t>
  </si>
  <si>
    <t>Avantage en nature</t>
  </si>
  <si>
    <t>Net à payer au salarié (en euros)</t>
  </si>
  <si>
    <t xml:space="preserve">EXONERATIONS ET ALLEGEMENTS DE COTISATIONS </t>
  </si>
  <si>
    <t>Allégements de Cotisations Employeur</t>
  </si>
  <si>
    <t xml:space="preserve">Cumuls </t>
  </si>
  <si>
    <t xml:space="preserve">Prélèvement à la source </t>
  </si>
  <si>
    <t>Congés Payés N-1 / N</t>
  </si>
  <si>
    <t>Congés Payés N / N+1</t>
  </si>
  <si>
    <t>Tx Pat.</t>
  </si>
  <si>
    <t>Heures Suppl. / Compl. défiscalisées</t>
  </si>
  <si>
    <t xml:space="preserve">Cotisations et Contributions Sociales Obligatoires </t>
  </si>
  <si>
    <t>Coefficient E&lt; 50 sal.</t>
  </si>
  <si>
    <t>T</t>
  </si>
  <si>
    <t>Cofficient E&gt;=50 sal.</t>
  </si>
  <si>
    <t xml:space="preserve">Effectifs de l'entreprise </t>
  </si>
  <si>
    <t xml:space="preserve">SMIC Horaire applicable </t>
  </si>
  <si>
    <t xml:space="preserve">Nombre d'heures "URSSAF" du mois </t>
  </si>
  <si>
    <t xml:space="preserve">Salaire brut du mois </t>
  </si>
  <si>
    <t xml:space="preserve">Calcul de la Réduction Générale de Cotisations du Mois </t>
  </si>
  <si>
    <t xml:space="preserve">Nombre d'heures effectuées </t>
  </si>
  <si>
    <t>A</t>
  </si>
  <si>
    <t>B = A / (salaire brut soumis à cotisations)</t>
  </si>
  <si>
    <t xml:space="preserve">C  = B -1 </t>
  </si>
  <si>
    <r>
      <t xml:space="preserve"> </t>
    </r>
    <r>
      <rPr>
        <b/>
        <sz val="11"/>
        <color theme="1"/>
        <rFont val="Times New Roman"/>
        <family val="1"/>
      </rPr>
      <t xml:space="preserve">Coefficient </t>
    </r>
    <r>
      <rPr>
        <sz val="11"/>
        <color theme="1"/>
        <rFont val="Times New Roman"/>
        <family val="1"/>
      </rPr>
      <t xml:space="preserve"> 
 D = C *T/0,6</t>
    </r>
  </si>
  <si>
    <t xml:space="preserve">Réduction Gén. De Cot.  = D * Salaire brut soumis à cotisations </t>
  </si>
  <si>
    <t xml:space="preserve">1,6 *SMICH * Nombre d'heures effectuées </t>
  </si>
  <si>
    <t xml:space="preserve">Articles du code du travail : durée des congés payés : L. 3141-3 à 11, L. 3141-23 durée du préavis : L 1234-1 et L. 1234-2, L 1237-1, L 1237-6, L 1237-10 </t>
  </si>
  <si>
    <t xml:space="preserve">Cumul mois précédent </t>
  </si>
  <si>
    <t xml:space="preserve">Total des Avantages en nature du mois </t>
  </si>
  <si>
    <t xml:space="preserve">Montant Cumulé des heures supplémentaires en début de mois </t>
  </si>
  <si>
    <t xml:space="preserve">Montant Cumulé des Heures Supplémentaires n Fin de mois </t>
  </si>
  <si>
    <t xml:space="preserve">Heures Supplémentaires défiscalisées du mois </t>
  </si>
  <si>
    <t xml:space="preserve"> </t>
  </si>
  <si>
    <t xml:space="preserve">Montant net des heures supplémentaires / Complémentaires/ RTT Non Exonérées </t>
  </si>
  <si>
    <t>mesdroitssociaux.gouv.fr</t>
  </si>
  <si>
    <t xml:space="preserve">Nombre d'heures contractuelles </t>
  </si>
  <si>
    <t xml:space="preserve">Salaire de base </t>
  </si>
  <si>
    <t xml:space="preserve">Annexe 1 </t>
  </si>
  <si>
    <t xml:space="preserve">Nom </t>
  </si>
  <si>
    <t xml:space="preserve">Adresse </t>
  </si>
  <si>
    <t xml:space="preserve">SIRET (14 chiffres) </t>
  </si>
  <si>
    <t xml:space="preserve">Code APE (4 chiffres et 1 lettre) </t>
  </si>
  <si>
    <t>Convention collective applicable ( nom de la convention et du code IDCC)</t>
  </si>
  <si>
    <t xml:space="preserve">Nombre de salariés dans l'entreprise </t>
  </si>
  <si>
    <t xml:space="preserve">Totalité </t>
  </si>
  <si>
    <t xml:space="preserve">Prévoyance Complémentaire  Cadres </t>
  </si>
  <si>
    <t>(1)</t>
  </si>
  <si>
    <t xml:space="preserve">Taux accident de travail </t>
  </si>
  <si>
    <t>Taux versement Mobilité</t>
  </si>
  <si>
    <t xml:space="preserve">Nom du salarié </t>
  </si>
  <si>
    <t xml:space="preserve">Prénom </t>
  </si>
  <si>
    <t xml:space="preserve">Emploi </t>
  </si>
  <si>
    <t xml:space="preserve">Position dans la classification </t>
  </si>
  <si>
    <t xml:space="preserve">Numéro de SS </t>
  </si>
  <si>
    <t>Statut du salarié (NC / C )</t>
  </si>
  <si>
    <t xml:space="preserve">Tapez le Code (1 pour Non Cadre - 2  pour Cadre) </t>
  </si>
  <si>
    <t>Début Période de paie</t>
  </si>
  <si>
    <t xml:space="preserve">Fin de période de paie </t>
  </si>
  <si>
    <t xml:space="preserve">Date de paiement du salaire </t>
  </si>
  <si>
    <t xml:space="preserve">Plafond </t>
  </si>
  <si>
    <t xml:space="preserve">Nombre de TR </t>
  </si>
  <si>
    <t>PS des TR</t>
  </si>
  <si>
    <t xml:space="preserve">PP  des TR </t>
  </si>
  <si>
    <t xml:space="preserve">Remboursement Carte Navigo </t>
  </si>
  <si>
    <t xml:space="preserve">Annexe 2. </t>
  </si>
  <si>
    <t xml:space="preserve">Vous disposez des tableaux suivants que vous devez reproduire en respectant soigneusement les numéros de lignes et de colonnes </t>
  </si>
  <si>
    <t xml:space="preserve">TABLE DES TAUX </t>
  </si>
  <si>
    <t xml:space="preserve">MAQUETTE SOURCE VIERGE </t>
  </si>
  <si>
    <t xml:space="preserve">Sur cette  derniére feuille  vous constatez que certaines lignes sont cachées </t>
  </si>
  <si>
    <t>Ligne 13</t>
  </si>
  <si>
    <t>Lignes 15 à 19</t>
  </si>
  <si>
    <t xml:space="preserve">Lignes 21  à 31 </t>
  </si>
  <si>
    <t xml:space="preserve">Lignes 64 -65 -66 </t>
  </si>
  <si>
    <t xml:space="preserve">Ligne 68 </t>
  </si>
  <si>
    <t xml:space="preserve">Il vous faut cependant  impérativement créer ces lignes  puis y saisir les libellés qui y figurent </t>
  </si>
  <si>
    <t>Vous trouverez le détail de ces lignes dans la feuille</t>
  </si>
  <si>
    <t xml:space="preserve">PARTIE de TRAME DETAILLEE </t>
  </si>
  <si>
    <t xml:space="preserve">Quant aux lignes 64-65-66 et 68  doivent être présentées comme ci-dessous </t>
  </si>
  <si>
    <t>Taux salarial</t>
  </si>
  <si>
    <t xml:space="preserve">Montant salarial </t>
  </si>
  <si>
    <t xml:space="preserve">Ligne 64 </t>
  </si>
  <si>
    <t xml:space="preserve">Ligne 65 </t>
  </si>
  <si>
    <t>Ligne 66</t>
  </si>
  <si>
    <t xml:space="preserve">Une fois la saisie effectuée vous cacherez les Lignes indiquées ci-dessus. </t>
  </si>
  <si>
    <t>cf MODE OPERATOIRE dans la correction.</t>
  </si>
  <si>
    <t xml:space="preserve">Vous créerez donc un DOSSIER  avec  LE NUMERO de ce TD </t>
  </si>
  <si>
    <t xml:space="preserve">Puis vous ouvrirez un CLASSEUR  et vous créerez 5  FEUILLES que vous nommerez :  </t>
  </si>
  <si>
    <t xml:space="preserve">ENONCE  </t>
  </si>
  <si>
    <t xml:space="preserve">MAQUETTE SOURCE </t>
  </si>
  <si>
    <t xml:space="preserve">CADRE </t>
  </si>
  <si>
    <t xml:space="preserve">NON CADRE </t>
  </si>
  <si>
    <t xml:space="preserve">Vous pourrez aller sur le site du Livre et récupérer la Feuille ENONCE au format EXCEL  que vous recopierez ensuite  dans votre feuille </t>
  </si>
  <si>
    <t xml:space="preserve">Annexe 3 . </t>
  </si>
  <si>
    <t xml:space="preserve">Questions   et recherches. </t>
  </si>
  <si>
    <t xml:space="preserve">Retrouvez sur Internet les références exactes de la CCN applicable aux entreprises d'architecture (IDCC et Numéro de Brochure) </t>
  </si>
  <si>
    <t xml:space="preserve">Retrouvez sur Internet les  dernières  grilles de salaires applicables; Quelle est la valeur du point ? </t>
  </si>
  <si>
    <t xml:space="preserve">Compte tenu du coefficient  hiérarchique quel est le salaire minimum convetionnel de Madame GRAVELINE et de Madame FERNANDEZ </t>
  </si>
  <si>
    <t xml:space="preserve">Retrouvez sur Internet le Remboursement de la Carte Navigo </t>
  </si>
  <si>
    <t xml:space="preserve">Retrouvez sur Internet le taux du versement de transport applicable </t>
  </si>
  <si>
    <t>Solution</t>
  </si>
  <si>
    <t xml:space="preserve">CCN des entreprises d'architecture </t>
  </si>
  <si>
    <t>Code IDCC</t>
  </si>
  <si>
    <t xml:space="preserve">Numéro de brochure </t>
  </si>
  <si>
    <t>Valeur du point 2019</t>
  </si>
  <si>
    <t>Coefficient hiérarchique</t>
  </si>
  <si>
    <t xml:space="preserve">Graveline </t>
  </si>
  <si>
    <t xml:space="preserve">Fernandez </t>
  </si>
  <si>
    <t xml:space="preserve">Salaire minimum conventionnel </t>
  </si>
  <si>
    <t xml:space="preserve">Tickets Restaurant  PS / PP </t>
  </si>
  <si>
    <t>Heures Suppl/ Compl non défiscalisées</t>
  </si>
  <si>
    <t>TOTAL 1</t>
  </si>
  <si>
    <t xml:space="preserve">Mutuelle   Non Cadres </t>
  </si>
  <si>
    <t>Prévoyance Complémentaire   Non Cadres</t>
  </si>
  <si>
    <t xml:space="preserve">Assurance décés des Cadres </t>
  </si>
  <si>
    <t xml:space="preserve">TA </t>
  </si>
  <si>
    <t xml:space="preserve">Forfait Jours  / Forfait heures </t>
  </si>
  <si>
    <t xml:space="preserve">Nombre d'heures supplémentaires ou Complémentaires </t>
  </si>
  <si>
    <t xml:space="preserve">Forfait jours </t>
  </si>
  <si>
    <t>Retraite Supplémentaire Art 83</t>
  </si>
  <si>
    <t>Retraite Supplémentaire Article 83</t>
  </si>
  <si>
    <t>Total PP Prévoyance complémentaire ( y compris retraite Supplémentaire Art 83)</t>
  </si>
  <si>
    <t xml:space="preserve">Retraite Supplémentaire Art 83 </t>
  </si>
  <si>
    <t>PMSS</t>
  </si>
  <si>
    <t xml:space="preserve">Heures supplémentaires non défiscalisées du mois </t>
  </si>
  <si>
    <t xml:space="preserve">Avantage  en nature TR </t>
  </si>
  <si>
    <t>Heures Suppl défiscalisées</t>
  </si>
  <si>
    <t xml:space="preserve">CSG 6,8 % déductible hors Hsuppl / Compl  défiscalisées </t>
  </si>
  <si>
    <t xml:space="preserve">Prime d'ancienneté </t>
  </si>
  <si>
    <t xml:space="preserve">Prime de production </t>
  </si>
  <si>
    <t xml:space="preserve">IJSS  Nettes </t>
  </si>
  <si>
    <t xml:space="preserve">Net à payer </t>
  </si>
  <si>
    <t xml:space="preserve">      BULLETIN  DE  SALAIRE</t>
  </si>
  <si>
    <t xml:space="preserve">Cellule J33 (Salaire brut) </t>
  </si>
  <si>
    <t xml:space="preserve">Cellule F73 (TOTAL DES COTISATIONS SALARIALES) </t>
  </si>
  <si>
    <t>Cellule F77 (IJSS NETTES)</t>
  </si>
  <si>
    <t>Cellule G38 (Mutuelle)</t>
  </si>
  <si>
    <t>Cellule G39 (Mutuelle )</t>
  </si>
  <si>
    <t xml:space="preserve">Cellule F67 (CSG CRDS Non déductible) </t>
  </si>
  <si>
    <t xml:space="preserve">Base de Calcul du PAS </t>
  </si>
  <si>
    <t xml:space="preserve">Base de calcul du Forfait social </t>
  </si>
  <si>
    <t>Cellule G39 (Mutuelle)</t>
  </si>
  <si>
    <t>Cellule G42 ( Prévoyance Complémentaire T1+T2)</t>
  </si>
  <si>
    <t xml:space="preserve">Base CSG  / CRDS </t>
  </si>
  <si>
    <t xml:space="preserve">0,9825 * Salaire brut  </t>
  </si>
  <si>
    <t xml:space="preserve"> + Prévoyance frais de santé </t>
  </si>
  <si>
    <t>BP  Version Janvier 2023</t>
  </si>
  <si>
    <t>BP Format Juillet 2023</t>
  </si>
  <si>
    <t>Différence</t>
  </si>
  <si>
    <t xml:space="preserve">Cotisations salariales </t>
  </si>
  <si>
    <t xml:space="preserve">Cotisations patronales </t>
  </si>
  <si>
    <t xml:space="preserve">Exonérations de cotisations </t>
  </si>
  <si>
    <t xml:space="preserve">Allégements de cotisations </t>
  </si>
  <si>
    <t>Tickets Restaurant  PS</t>
  </si>
  <si>
    <t xml:space="preserve">AVANTAGE EN NATURE </t>
  </si>
  <si>
    <t xml:space="preserve">IJSS brutes </t>
  </si>
  <si>
    <t xml:space="preserve">- CSG 3,8 % déductible </t>
  </si>
  <si>
    <t xml:space="preserve">Une fois vos bulletins de paie établis : Les Zones en Jaune doivent être renseignées par vos soins </t>
  </si>
  <si>
    <t xml:space="preserve">Rubriques des BP que l'on veut contrôler </t>
  </si>
  <si>
    <t xml:space="preserve">Base Forfait social </t>
  </si>
  <si>
    <t xml:space="preserve">Base CSG CRDS </t>
  </si>
  <si>
    <t xml:space="preserve">Dans ce dernier tableau le montant des cellules en Jaune doivent être "récupérées" dans les BP , le montant des autres cellules est </t>
  </si>
  <si>
    <t xml:space="preserve">automatiquement récupéré à partir des reports précédement effectués </t>
  </si>
  <si>
    <t xml:space="preserve">Reconstitution du Net à payer , du Net imposable etc à </t>
  </si>
  <si>
    <t>partir du BP de Jznvier 2023</t>
  </si>
  <si>
    <t xml:space="preserve">Report depuis les 2 BP </t>
  </si>
  <si>
    <t xml:space="preserve"> + Prévoyance  hors frais de santé </t>
  </si>
  <si>
    <t>Tx applicable  Paris et Petite couronne à pa</t>
  </si>
  <si>
    <t xml:space="preserve">Calcul alternatif </t>
  </si>
  <si>
    <t>nb: en 2023 resp 0,3191 et 0,3231</t>
  </si>
  <si>
    <t>A compter du 01/02/2024</t>
  </si>
  <si>
    <t xml:space="preserve">2,01 % / 1,6 % </t>
  </si>
  <si>
    <t>Absence Maladie du 20/03 au 31/03</t>
  </si>
  <si>
    <t>Plafond de la sécurité sociale 2025</t>
  </si>
  <si>
    <t>SMICH 01/01/2024</t>
  </si>
  <si>
    <t xml:space="preserve">SMICH 01/11/2024 </t>
  </si>
  <si>
    <t>SMICH au 01/01/2025</t>
  </si>
  <si>
    <t xml:space="preserve">SMIC Mensuel  </t>
  </si>
  <si>
    <t>SMIC Mensuel  au 01/01/2025</t>
  </si>
  <si>
    <t>1,6 *SMICH  * 35 * 52 /12 au 01/01/2025</t>
  </si>
  <si>
    <t>2,25 *SMICH*35*52/12 au 01/01/2025</t>
  </si>
  <si>
    <t>3,3 *SMICH*35*52/12 au 01/01/2025</t>
  </si>
  <si>
    <t>Coefficients Red Gen de  Cot.applicables le  01/01/2025 (Entreprises de moins de 50 sal / Entreprises de 50 ou + de 50 sal.)</t>
  </si>
  <si>
    <r>
      <t xml:space="preserve">Taux </t>
    </r>
    <r>
      <rPr>
        <b/>
        <sz val="11"/>
        <color theme="1"/>
        <rFont val="Times New Roman"/>
        <family val="1"/>
      </rPr>
      <t>2025</t>
    </r>
    <r>
      <rPr>
        <sz val="11"/>
        <color theme="1"/>
        <rFont val="Times New Roman"/>
        <family val="1"/>
      </rPr>
      <t xml:space="preserve">  du Versement Mobilité en RP </t>
    </r>
  </si>
  <si>
    <t>Taux du Versement Mobilité aiu 01/01/2024</t>
  </si>
  <si>
    <t xml:space="preserve">Pharmacie L et D  de GAALON </t>
  </si>
  <si>
    <t xml:space="preserve">29 Rue Clémenceau  22430 Erquy </t>
  </si>
  <si>
    <t>4773Z</t>
  </si>
  <si>
    <t xml:space="preserve">2 Avenue du Val Fleuri 22520 Binic </t>
  </si>
  <si>
    <t>Préparatrice en Pharmacie</t>
  </si>
  <si>
    <t>2.96.02.297.820. 957</t>
  </si>
  <si>
    <t>Rassa</t>
  </si>
  <si>
    <t>Paramètre de calcul ( Format nombre du 01/05/2025)</t>
  </si>
  <si>
    <t xml:space="preserve">Début de paie du mois </t>
  </si>
  <si>
    <t xml:space="preserve">Cette matrice gére la modification  du paramètre T (cellules E4 et E5)  à iintervenir  à compter du  01/05/2025 </t>
  </si>
  <si>
    <t xml:space="preserve">Seules  Les  cellules en Jaune et en particulier la cellule E5 doivent  être renseignées </t>
  </si>
  <si>
    <t xml:space="preserve">Déduction forfaitaire heures supplémentaires </t>
  </si>
  <si>
    <t>Ne pas modifier la cellule ci-contre</t>
  </si>
  <si>
    <t xml:space="preserve">Report dans la cellule G71  du BP </t>
  </si>
  <si>
    <t xml:space="preserve">Si le salarié est Non Cadre : NC </t>
  </si>
  <si>
    <t xml:space="preserve">Si le salarié est Non Cadre : 1 </t>
  </si>
  <si>
    <t xml:space="preserve">Feuille reliée au BP Format Juillet 2023 </t>
  </si>
  <si>
    <t>AN TR</t>
  </si>
  <si>
    <t xml:space="preserve">​ </t>
  </si>
  <si>
    <t xml:space="preserve">Format nombre de la date du 01/05/2025 </t>
  </si>
  <si>
    <t xml:space="preserve">( permet de faire un test sur la date du mois) </t>
  </si>
  <si>
    <t xml:space="preserve">Coefficient  maximum </t>
  </si>
  <si>
    <t>TAUX NEUTRE JANVIER</t>
  </si>
  <si>
    <t xml:space="preserve">TAUX NEUTRE MAI </t>
  </si>
  <si>
    <t xml:space="preserve">La feuille TAUX NEUTRE est paramètrée de telle sorte que suivant que la date de début de la période du mois en cours figurant sur le bulletin de paie </t>
  </si>
  <si>
    <t>est antérieure au 01/05/2025 les données de la feuille TAUX NEUTRE JANVIER seront reprises</t>
  </si>
  <si>
    <t>est supérieure ou égale au 01/05/2025 les données de la feuille TAUX NEUTRE MAI  seront reprises.</t>
  </si>
  <si>
    <t xml:space="preserve">et suivant la base du PAS figurant dans la cellule </t>
  </si>
  <si>
    <t>H10</t>
  </si>
  <si>
    <t>H11</t>
  </si>
  <si>
    <t>D/E 89</t>
  </si>
  <si>
    <t>du bulletin de paie Format Juiilet 2023</t>
  </si>
  <si>
    <t xml:space="preserve">Voyons les formules utilisées afin de passer d'une table à l'autre et afin de renvoyer le taux correspondant à la base du PAS </t>
  </si>
  <si>
    <t>=SI('BP FORMAT JUILLET 2023'!$H$10&lt;$K$5;'TAUX NEUTRE JANVIER  '!C7;'TAUX NEUTRE MAI '!C7)</t>
  </si>
  <si>
    <t xml:space="preserve">Décomposons cette formule : </t>
  </si>
  <si>
    <t>'=SI('BP FORMAT JUILLET 2023'!$H$10&lt;$K$5;</t>
  </si>
  <si>
    <t xml:space="preserve">Si la date figurant dans la cellule H10 du BP FORMAT JUILLET 2023 est inférieur au contenu de la cellule K5 de la feuille TAUX NEUTRE </t>
  </si>
  <si>
    <t xml:space="preserve">La cellule K5 correspond au format nombre de la date du 01/05/2025 qui voit une nouvelle grille éventuellement s'appliquer </t>
  </si>
  <si>
    <t xml:space="preserve">Rem : Afin de pouvoir faire une RECOPIE vers le bas de cette formule j'ai figé la référence à la cellule H10 et à la cellule K5 par le signe $ </t>
  </si>
  <si>
    <t xml:space="preserve">$H$10 </t>
  </si>
  <si>
    <t xml:space="preserve">et </t>
  </si>
  <si>
    <t>$K$5</t>
  </si>
  <si>
    <t xml:space="preserve">Poursuivons l'explication de la formule en C7 </t>
  </si>
  <si>
    <t xml:space="preserve">1. </t>
  </si>
  <si>
    <t xml:space="preserve">Si la condition énoncée en 1.  est vraie </t>
  </si>
  <si>
    <t xml:space="preserve">alors ce sont les données de la table TAUX NEUTRE JANVIER  qui s'appliqueront et plus particulièrement les données de la cellule C7  de cette table </t>
  </si>
  <si>
    <t>'TAUX NEUTRE JANVIER  '!C7</t>
  </si>
  <si>
    <t xml:space="preserve">sinon ce sont les données de la table TAUX NEUTRE MAI  qui s'appliqueront et plus particulièrement les données de la cellule C7 de cette table </t>
  </si>
  <si>
    <t>'TAUX NEUTRE MAI '!C7</t>
  </si>
  <si>
    <t>Il suffit ensuite de RECOPIER cette formule VERS LE BAS pour obtenir une table modulable selon que l'on se situe avant le 01/05/2025 ou à compter du 01/05/2025</t>
  </si>
  <si>
    <t>= SI($H$11&gt;=B7;SI($H$11&lt;C7;D7;0);0)</t>
  </si>
  <si>
    <t xml:space="preserve">Examinons la formule de la cellule E7 </t>
  </si>
  <si>
    <t>'= SI($H$11&gt;=B7</t>
  </si>
  <si>
    <t xml:space="preserve">Si le montant récupéré en H11 (base du PAS) est supérieur ou égal au montant figurant en B7 c’est-à-dire à la tranche inférieure </t>
  </si>
  <si>
    <t>SI($H$11&lt;C7;D7;0</t>
  </si>
  <si>
    <t xml:space="preserve">dans ce cas - deuxième condition - si le montant figurant dans la cellule H11 est inférieur à la borne supérieure </t>
  </si>
  <si>
    <t xml:space="preserve">cela signifie que le montant figurant en H11 est compris quelque part entre la borne supérieure et la borne inférieure </t>
  </si>
  <si>
    <t xml:space="preserve">et donc on va renvoyer en E7 la valeur du taux applicable à cette tranche - valeur figurant en D7 </t>
  </si>
  <si>
    <t xml:space="preserve">sinon ( le montant est supérieur à C7 donc on n'est pas dans la bonne tranche et on va renvoyer en E7 la valeur 0 </t>
  </si>
  <si>
    <t xml:space="preserve">la valeur 0 </t>
  </si>
  <si>
    <t xml:space="preserve">Après avoir figé H11 par des $ on pourra effectuer une RECOPIE vers le BAS </t>
  </si>
  <si>
    <t>Le taux correspondant au montant contenu dans la cellule H11 sera renvoyé sur une ligne ou l'autre de la colonne E toutes les autres lignes de la colonne E étant à 0</t>
  </si>
  <si>
    <t xml:space="preserve">Pour tester si le programme fonctionne </t>
  </si>
  <si>
    <t xml:space="preserve">Saisr en </t>
  </si>
  <si>
    <t xml:space="preserve">Date du 1 er jour du mois de paie </t>
  </si>
  <si>
    <t>J15</t>
  </si>
  <si>
    <t>la date du premier jour du mois de paie  et qui peut être le report de la cellule H10 du BP Format JUILLET 2023</t>
  </si>
  <si>
    <t xml:space="preserve">Insérer une nouvelle FEUILLE </t>
  </si>
  <si>
    <t>puis COLLEZ la dans la nouvelle Feuille que vous appelerez  TAUX NEUTRE 2</t>
  </si>
  <si>
    <t>Dans cette feuille en C7 au  lieu de faire le test sur la date à partir de la cellule H10 de la feuille BP Format JUIILLET 2023 effectuez le test sut la celluke J15</t>
  </si>
  <si>
    <t xml:space="preserve">Cela vous donne en C7 la formule suivante : </t>
  </si>
  <si>
    <t>'=SI($J$15&lt;$K$5;'TAUX NEUTRE JANVIER  '!C7;'TAUX NEUTRE MAI '!C7)</t>
  </si>
  <si>
    <t>Après avoir figé la référence à la cellule J15 par 2 $ vous pouvez effectuer votre recopie vers le bas,</t>
  </si>
  <si>
    <t xml:space="preserve">Dans cette feuille TAUX NEUTRE 2 vous pouvez ainsi à loisir vérifier la bonne marche de cette matrice en modifiant </t>
  </si>
  <si>
    <t>la cellule H11</t>
  </si>
  <si>
    <t>la cellule J15</t>
  </si>
  <si>
    <t>Il y a trois feuilles qui vont permettre de renvoyer dans les bulletins de paie le taux neutre éventuellement applicable au salarié sur les bulletins de paie (en F/G 89 pour le BP Format Juillet 2023)</t>
  </si>
  <si>
    <t>La feuille TAUX NEUTRE 2 sera utilisée pour faire vos essais .Cf ci-dessous son paramètrage ( à  partir de la  Ligne 80)</t>
  </si>
  <si>
    <t xml:space="preserve"> BP Format Juiilet 2023  et placée ici dans la cellule </t>
  </si>
  <si>
    <t xml:space="preserve">Le dernier 0 de la formule Ligne 53 correspond au cas où la base du PAS en H11 est inférieur à la limite inférieure en B7 dans ce cas également  on renverra </t>
  </si>
  <si>
    <t>On obtient ainsi en E27 le taux recherché que l'on reporte en H12</t>
  </si>
  <si>
    <t>Pour renvoyer le taux trouvé automatiquement dans la cellule H12 on fait la somme de la colonne E ( cellule E27 est la somme de toutes les cellules de E7 à E21).</t>
  </si>
  <si>
    <t>avant le 01/05/2025</t>
  </si>
  <si>
    <t>Une nouvelle grille de taux neutre s'applique à compter du 01/05/2025</t>
  </si>
  <si>
    <t xml:space="preserve">Objectif : crééer une grille de taux neutre qui puisse s'appliquer quel que soit le mois de paie </t>
  </si>
  <si>
    <t xml:space="preserve">à  compter du 01/05/2025 </t>
  </si>
  <si>
    <t xml:space="preserve">et qui renvoie vers les 2 formats de bulletins de paie présentés le taux applicable compte tenu d'une base du PAS donnée. </t>
  </si>
  <si>
    <t>Grille du taux neutre 2025 applicable du 01/05/2025 au 31/04/2025</t>
  </si>
  <si>
    <t>Grille du taux neutre 2025 appicable à compter du 01/05/2025</t>
  </si>
  <si>
    <t xml:space="preserve">ATGR </t>
  </si>
  <si>
    <t>FERNANDEZ</t>
  </si>
  <si>
    <t xml:space="preserve">3 Rue Paul Vaillant Couturier 92300 Levallois-Perret </t>
  </si>
  <si>
    <t>Myriam</t>
  </si>
  <si>
    <t xml:space="preserve">Chargée de Projet </t>
  </si>
  <si>
    <t xml:space="preserve">Position </t>
  </si>
  <si>
    <t>440</t>
  </si>
  <si>
    <t>7111C</t>
  </si>
  <si>
    <t xml:space="preserve">N° de S.S. </t>
  </si>
  <si>
    <t>2.96.02.297.820.957</t>
  </si>
  <si>
    <t xml:space="preserve">3 Rue des Vallées 92700 Colombes </t>
  </si>
  <si>
    <t>NC</t>
  </si>
  <si>
    <t xml:space="preserve">Période de Paie : du </t>
  </si>
  <si>
    <t xml:space="preserve">Au </t>
  </si>
  <si>
    <t xml:space="preserve">Primes entrant dans la base de calcul des heures supplémentaires et des heures complémentaires </t>
  </si>
  <si>
    <t>Absence du 16/01 au 22/01</t>
  </si>
  <si>
    <t>Chômage + AGS -  (TA + TB )</t>
  </si>
  <si>
    <t xml:space="preserve">AUTRES CHARGES DUES PAR L'EMPLOYEUR </t>
  </si>
  <si>
    <t>Maintien de salaire TB</t>
  </si>
  <si>
    <t xml:space="preserve">Grille du taux neutre 2025 </t>
  </si>
  <si>
    <t>TAUX NEUTRE 2025</t>
  </si>
  <si>
    <t xml:space="preserve">Dans la feuille TAUX NEUTRE 2025  la  formule de la cellule C7 est : </t>
  </si>
  <si>
    <t xml:space="preserve">Les taux figurant dans la colonne D de la table TAUX NEUTRE 2025 sont les mêmes pour la table TAUX NEUTRE JANVIER  et pour la table TAUX NEUTRE MAI. Il suffit donc </t>
  </si>
  <si>
    <t>d'en faire une copie puis de les COLLER dans la table TAUX NEUTRE 2025</t>
  </si>
  <si>
    <t xml:space="preserve">Les formules contenues dans la colonne E de la table TAUX NEUTRE 2025  vont permettre de définir le taux applicable  à la base du PAS récupérée dans la cellule D/E 89 du </t>
  </si>
  <si>
    <t xml:space="preserve">le taux applicable y sera </t>
  </si>
  <si>
    <t>affiché</t>
  </si>
  <si>
    <t>Copier la feuille TAUX NEUTRE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</si>
</sst>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_-* #,##0.00\ _€_-;\-* #,##0.00\ _€_-;_-* &quot;-&quot;??\ _€_-;_-@_-"/>
    <numFmt numFmtId="165" formatCode="0.0000"/>
    <numFmt numFmtId="166" formatCode="0.000%"/>
    <numFmt numFmtId="167" formatCode="0.0%"/>
    <numFmt numFmtId="168" formatCode="0.00000"/>
    <numFmt numFmtId="169" formatCode="0.000"/>
    <numFmt numFmtId="170" formatCode="_(* #,##0.00_);_(* \(#,##0.00\);_(* &quot;-&quot;??_);_(@_)"/>
    <numFmt numFmtId="171" formatCode="_-* #,##0.0000_-;\-* #,##0.0000_-;_-* &quot;-&quot;??_-;_-@_-"/>
    <numFmt numFmtId="172" formatCode="_-* #,##0.00000\ _€_-;\-* #,##0.00000\ _€_-;_-* &quot;-&quot;??\ _€_-;_-@_-"/>
    <numFmt numFmtId="173" formatCode="_-* #,##0.0000\ _€_-;\-* #,##0.0000\ _€_-;_-* &quot;-&quot;??\ _€_-;_-@_-"/>
    <numFmt numFmtId="174" formatCode="\ #,##0.00&quot;    &quot;;\-#,##0.00&quot;    &quot;;&quot; -&quot;#&quot;    &quot;;@\ "/>
    <numFmt numFmtId="175" formatCode="\ #,##0.00&quot;    &quot;;\-#,##0.00&quot;    &quot;;&quot; -&quot;#&quot;    &quot;;\ @\ "/>
    <numFmt numFmtId="176" formatCode="#,##0.000"/>
    <numFmt numFmtId="177" formatCode="#,##0.00_ ;\-#,##0.00\ "/>
    <numFmt numFmtId="178" formatCode="_-* #,##0.00000000\ _€_-;\-* #,##0.00000000\ _€_-;_-* &quot;-&quot;????????\ _€_-;_-@_-"/>
    <numFmt numFmtId="179" formatCode="_-* #,##0.00000000\ _€_-;\-* #,##0.00000000\ _€_-;_-* &quot;-&quot;??\ _€_-;_-@_-"/>
    <numFmt numFmtId="180" formatCode="_-* #,##0.0000\ _€_-;\-* #,##0.0000\ _€_-;_-* &quot;-&quot;????\ _€_-;_-@_-"/>
    <numFmt numFmtId="181" formatCode="#,##0.0000"/>
    <numFmt numFmtId="182" formatCode="0.0000%"/>
    <numFmt numFmtId="183" formatCode="\ #,##0&quot;    &quot;;\-#,##0&quot;    &quot;;&quot; -&quot;#&quot;    &quot;;@\ "/>
  </numFmts>
  <fonts count="91" x14ac:knownFonts="1">
    <font>
      <sz val="11"/>
      <color theme="1"/>
      <name val="Calibri"/>
      <family val="2"/>
      <scheme val="minor"/>
    </font>
    <font>
      <sz val="10"/>
      <name val="MS Sans Serif"/>
      <family val="2"/>
    </font>
    <font>
      <b/>
      <sz val="14"/>
      <name val="Times New Roman"/>
      <family val="1"/>
    </font>
    <font>
      <sz val="9"/>
      <name val="Times New Roman"/>
      <family val="1"/>
    </font>
    <font>
      <b/>
      <sz val="8"/>
      <name val="Calibri"/>
      <family val="2"/>
      <charset val="1"/>
    </font>
    <font>
      <sz val="8"/>
      <name val="Calibri"/>
      <family val="2"/>
      <charset val="1"/>
    </font>
    <font>
      <sz val="9"/>
      <name val="Arial Narrow"/>
      <family val="2"/>
    </font>
    <font>
      <sz val="8"/>
      <name val="Arial Narrow"/>
      <family val="2"/>
    </font>
    <font>
      <b/>
      <sz val="8"/>
      <name val="Arial Narrow"/>
      <family val="2"/>
    </font>
    <font>
      <i/>
      <sz val="9"/>
      <name val="Times New Roman"/>
      <family val="1"/>
    </font>
    <font>
      <sz val="12"/>
      <name val="Arial Narrow"/>
      <family val="2"/>
    </font>
    <font>
      <b/>
      <sz val="14"/>
      <name val="Calibri"/>
      <family val="2"/>
      <charset val="1"/>
    </font>
    <font>
      <sz val="12"/>
      <name val="Times New Roman"/>
      <family val="1"/>
    </font>
    <font>
      <sz val="9"/>
      <color indexed="81"/>
      <name val="Tahoma"/>
      <family val="2"/>
    </font>
    <font>
      <b/>
      <sz val="9"/>
      <color indexed="81"/>
      <name val="Tahoma"/>
      <family val="2"/>
    </font>
    <font>
      <sz val="11"/>
      <color indexed="8"/>
      <name val="Times New Roman"/>
      <family val="1"/>
    </font>
    <font>
      <sz val="10"/>
      <name val="Times New Roman"/>
      <family val="1"/>
    </font>
    <font>
      <sz val="8"/>
      <name val="Times New Roman"/>
      <family val="1"/>
    </font>
    <font>
      <sz val="11"/>
      <color theme="1"/>
      <name val="Calibri"/>
      <family val="2"/>
      <scheme val="minor"/>
    </font>
    <font>
      <b/>
      <sz val="11"/>
      <color theme="1"/>
      <name val="Calibri"/>
      <family val="2"/>
      <scheme val="minor"/>
    </font>
    <font>
      <sz val="9"/>
      <color rgb="FF000000"/>
      <name val="Calibri"/>
      <family val="2"/>
      <charset val="1"/>
    </font>
    <font>
      <b/>
      <sz val="11"/>
      <color rgb="FF000000"/>
      <name val="Calibri"/>
      <family val="2"/>
    </font>
    <font>
      <sz val="8"/>
      <color rgb="FF000000"/>
      <name val="Arial Narrow"/>
      <family val="2"/>
    </font>
    <font>
      <sz val="8"/>
      <color theme="8" tint="0.59999389629810485"/>
      <name val="Arial Narrow"/>
      <family val="2"/>
    </font>
    <font>
      <sz val="8"/>
      <color theme="1"/>
      <name val="Arial Narrow"/>
      <family val="2"/>
    </font>
    <font>
      <sz val="9"/>
      <color theme="1"/>
      <name val="Calibri"/>
      <family val="2"/>
      <scheme val="minor"/>
    </font>
    <font>
      <sz val="11"/>
      <color theme="1"/>
      <name val="Arial Narrow"/>
      <family val="2"/>
    </font>
    <font>
      <sz val="9"/>
      <color theme="1"/>
      <name val="Arial Narrow"/>
      <family val="2"/>
    </font>
    <font>
      <sz val="12"/>
      <color theme="1"/>
      <name val="Arial Narrow"/>
      <family val="2"/>
    </font>
    <font>
      <sz val="12"/>
      <color theme="1"/>
      <name val="Calibri"/>
      <family val="2"/>
      <scheme val="minor"/>
    </font>
    <font>
      <b/>
      <sz val="9"/>
      <color rgb="FF000000"/>
      <name val="Arial Narrow"/>
      <family val="2"/>
    </font>
    <font>
      <sz val="9"/>
      <color rgb="FF000000"/>
      <name val="Times New Roman"/>
      <family val="1"/>
    </font>
    <font>
      <sz val="9"/>
      <color rgb="FF000000"/>
      <name val="Arial Narrow"/>
      <family val="2"/>
    </font>
    <font>
      <sz val="11"/>
      <color theme="1"/>
      <name val="Times New Roman"/>
      <family val="1"/>
    </font>
    <font>
      <sz val="12"/>
      <color theme="1"/>
      <name val="Times New Roman"/>
      <family val="1"/>
    </font>
    <font>
      <b/>
      <sz val="11"/>
      <color theme="1"/>
      <name val="Times New Roman"/>
      <family val="1"/>
    </font>
    <font>
      <b/>
      <sz val="12"/>
      <color theme="1"/>
      <name val="Arial Narrow"/>
      <family val="2"/>
    </font>
    <font>
      <i/>
      <sz val="8"/>
      <color theme="1"/>
      <name val="Arial Narrow"/>
      <family val="2"/>
    </font>
    <font>
      <b/>
      <sz val="8"/>
      <color theme="1"/>
      <name val="Arial Narrow"/>
      <family val="2"/>
    </font>
    <font>
      <sz val="9"/>
      <color theme="1"/>
      <name val="Times New Roman"/>
      <family val="1"/>
    </font>
    <font>
      <b/>
      <sz val="12"/>
      <color theme="1"/>
      <name val="Times New Roman"/>
      <family val="1"/>
    </font>
    <font>
      <sz val="8"/>
      <color theme="1"/>
      <name val="Times New Roman"/>
      <family val="1"/>
    </font>
    <font>
      <b/>
      <sz val="8"/>
      <color theme="1"/>
      <name val="Times New Roman"/>
      <family val="1"/>
    </font>
    <font>
      <b/>
      <sz val="9"/>
      <color theme="1"/>
      <name val="Arial Narrow"/>
      <family val="2"/>
    </font>
    <font>
      <u/>
      <sz val="11"/>
      <color theme="1"/>
      <name val="Calibri"/>
      <family val="2"/>
      <scheme val="minor"/>
    </font>
    <font>
      <sz val="8"/>
      <color rgb="FF000000"/>
      <name val="Times New Roman"/>
      <family val="1"/>
    </font>
    <font>
      <sz val="8"/>
      <color theme="1"/>
      <name val="Calibri"/>
      <family val="2"/>
      <scheme val="minor"/>
    </font>
    <font>
      <b/>
      <sz val="9"/>
      <color theme="1"/>
      <name val="Calibri"/>
      <family val="2"/>
      <scheme val="minor"/>
    </font>
    <font>
      <b/>
      <sz val="8"/>
      <color theme="1"/>
      <name val="Calibri"/>
      <family val="2"/>
      <scheme val="minor"/>
    </font>
    <font>
      <sz val="10"/>
      <color theme="1"/>
      <name val="Calibri"/>
      <family val="2"/>
      <scheme val="minor"/>
    </font>
    <font>
      <sz val="10"/>
      <color theme="1"/>
      <name val="Times New Roman"/>
      <family val="1"/>
    </font>
    <font>
      <b/>
      <sz val="9"/>
      <color rgb="FF000000"/>
      <name val="Times New Roman"/>
      <family val="1"/>
    </font>
    <font>
      <i/>
      <sz val="8"/>
      <color theme="1"/>
      <name val="Times New Roman"/>
      <family val="1"/>
    </font>
    <font>
      <i/>
      <sz val="11"/>
      <color theme="1"/>
      <name val="Times New Roman"/>
      <family val="1"/>
    </font>
    <font>
      <sz val="8"/>
      <color indexed="81"/>
      <name val="Times New Roman"/>
      <family val="1"/>
    </font>
    <font>
      <sz val="10"/>
      <name val="Arial Narrow"/>
      <family val="2"/>
    </font>
    <font>
      <b/>
      <sz val="11"/>
      <color rgb="FF000000"/>
      <name val="Arial Narrow"/>
      <family val="2"/>
    </font>
    <font>
      <b/>
      <sz val="9"/>
      <name val="Times New Roman"/>
      <family val="1"/>
    </font>
    <font>
      <b/>
      <sz val="9"/>
      <color theme="1"/>
      <name val="Times New Roman"/>
      <family val="1"/>
    </font>
    <font>
      <i/>
      <sz val="12"/>
      <color theme="1"/>
      <name val="Times New Roman"/>
      <family val="1"/>
    </font>
    <font>
      <i/>
      <sz val="12"/>
      <name val="Times New Roman"/>
      <family val="1"/>
    </font>
    <font>
      <b/>
      <sz val="6"/>
      <name val="Times New Roman"/>
      <family val="1"/>
    </font>
    <font>
      <i/>
      <sz val="10"/>
      <name val="Times New Roman"/>
      <family val="1"/>
    </font>
    <font>
      <b/>
      <sz val="11"/>
      <color rgb="FF000000"/>
      <name val="Times New Roman"/>
      <family val="1"/>
    </font>
    <font>
      <sz val="9"/>
      <color theme="8" tint="0.59999389629810485"/>
      <name val="Times New Roman"/>
      <family val="1"/>
    </font>
    <font>
      <b/>
      <sz val="8"/>
      <name val="Times New Roman"/>
      <family val="1"/>
    </font>
    <font>
      <b/>
      <sz val="7"/>
      <color theme="1"/>
      <name val="Times New Roman"/>
      <family val="1"/>
    </font>
    <font>
      <b/>
      <sz val="10"/>
      <name val="Times New Roman"/>
      <family val="1"/>
    </font>
    <font>
      <b/>
      <sz val="10"/>
      <color rgb="FF000000"/>
      <name val="Times New Roman"/>
      <family val="1"/>
    </font>
    <font>
      <b/>
      <u/>
      <sz val="12"/>
      <color theme="1"/>
      <name val="Arial Narrow"/>
      <family val="2"/>
    </font>
    <font>
      <sz val="12"/>
      <color rgb="FF000000"/>
      <name val="Arial Narrow"/>
      <family val="2"/>
    </font>
    <font>
      <b/>
      <sz val="12"/>
      <name val="Arial Narrow"/>
      <family val="2"/>
    </font>
    <font>
      <u/>
      <sz val="12"/>
      <color theme="1"/>
      <name val="Arial Narrow"/>
      <family val="2"/>
    </font>
    <font>
      <sz val="8"/>
      <name val="Calibri"/>
      <family val="2"/>
      <scheme val="minor"/>
    </font>
    <font>
      <sz val="11"/>
      <color rgb="FFFF0000"/>
      <name val="Times New Roman"/>
      <family val="1"/>
    </font>
    <font>
      <sz val="9"/>
      <color rgb="FFFF0000"/>
      <name val="Times New Roman"/>
      <family val="1"/>
    </font>
    <font>
      <b/>
      <sz val="9"/>
      <color rgb="FFFF0000"/>
      <name val="Times New Roman"/>
      <family val="1"/>
    </font>
    <font>
      <sz val="11"/>
      <color theme="0"/>
      <name val="Calibri"/>
      <family val="2"/>
      <scheme val="minor"/>
    </font>
    <font>
      <sz val="14"/>
      <color theme="1"/>
      <name val="Times New Roman"/>
      <family val="1"/>
    </font>
    <font>
      <sz val="12"/>
      <color theme="0"/>
      <name val="Times New Roman"/>
      <family val="1"/>
    </font>
    <font>
      <sz val="10"/>
      <color theme="1"/>
      <name val="Arial Narrow"/>
      <family val="2"/>
    </font>
    <font>
      <sz val="10"/>
      <color rgb="FF000000"/>
      <name val="Arial Narrow"/>
      <family val="2"/>
    </font>
    <font>
      <i/>
      <sz val="10"/>
      <color theme="1"/>
      <name val="Times New Roman"/>
      <family val="1"/>
    </font>
    <font>
      <sz val="11"/>
      <color theme="0"/>
      <name val="Times New Roman"/>
      <family val="1"/>
    </font>
    <font>
      <i/>
      <sz val="12"/>
      <color theme="0"/>
      <name val="Times New Roman"/>
      <family val="1"/>
    </font>
    <font>
      <b/>
      <sz val="10"/>
      <color theme="0"/>
      <name val="Times New Roman"/>
      <family val="1"/>
    </font>
    <font>
      <b/>
      <sz val="11"/>
      <color theme="0"/>
      <name val="Times New Roman"/>
      <family val="1"/>
    </font>
    <font>
      <b/>
      <sz val="9"/>
      <color theme="0"/>
      <name val="Times New Roman"/>
      <family val="1"/>
    </font>
    <font>
      <b/>
      <sz val="8"/>
      <color theme="0"/>
      <name val="Times New Roman"/>
      <family val="1"/>
    </font>
    <font>
      <sz val="11"/>
      <name val="Arial Narrow"/>
      <family val="2"/>
    </font>
    <font>
      <sz val="12"/>
      <color theme="0"/>
      <name val="Arial Narrow"/>
      <family val="2"/>
    </font>
  </fonts>
  <fills count="14">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79998168889431442"/>
        <bgColor indexed="64"/>
      </patternFill>
    </fill>
    <fill>
      <patternFill patternType="solid">
        <fgColor rgb="FF00B050"/>
        <bgColor indexed="64"/>
      </patternFill>
    </fill>
    <fill>
      <patternFill patternType="solid">
        <fgColor theme="4"/>
        <bgColor indexed="64"/>
      </patternFill>
    </fill>
    <fill>
      <patternFill patternType="solid">
        <fgColor theme="5"/>
        <bgColor indexed="64"/>
      </patternFill>
    </fill>
    <fill>
      <patternFill patternType="solid">
        <fgColor rgb="FF0070C0"/>
        <bgColor indexed="64"/>
      </patternFill>
    </fill>
    <fill>
      <patternFill patternType="solid">
        <fgColor rgb="FF00B0F0"/>
        <bgColor indexed="64"/>
      </patternFill>
    </fill>
    <fill>
      <patternFill patternType="solid">
        <fgColor rgb="FFC000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8"/>
      </right>
      <top/>
      <bottom style="thin">
        <color indexed="8"/>
      </bottom>
      <diagonal/>
    </border>
    <border>
      <left style="thin">
        <color indexed="8"/>
      </left>
      <right/>
      <top style="thin">
        <color indexed="64"/>
      </top>
      <bottom style="thin">
        <color indexed="64"/>
      </bottom>
      <diagonal/>
    </border>
    <border>
      <left/>
      <right/>
      <top style="thin">
        <color indexed="8"/>
      </top>
      <bottom style="thin">
        <color indexed="8"/>
      </bottom>
      <diagonal/>
    </border>
    <border>
      <left style="dashed">
        <color indexed="8"/>
      </left>
      <right style="dashed">
        <color indexed="8"/>
      </right>
      <top style="dashed">
        <color indexed="8"/>
      </top>
      <bottom/>
      <diagonal/>
    </border>
    <border>
      <left style="dashed">
        <color indexed="8"/>
      </left>
      <right/>
      <top style="thin">
        <color indexed="64"/>
      </top>
      <bottom/>
      <diagonal/>
    </border>
    <border>
      <left/>
      <right style="thin">
        <color indexed="8"/>
      </right>
      <top/>
      <bottom/>
      <diagonal/>
    </border>
    <border>
      <left style="thin">
        <color indexed="8"/>
      </left>
      <right style="thin">
        <color indexed="8"/>
      </right>
      <top/>
      <bottom/>
      <diagonal/>
    </border>
    <border>
      <left style="thin">
        <color indexed="8"/>
      </left>
      <right/>
      <top/>
      <bottom/>
      <diagonal/>
    </border>
    <border>
      <left/>
      <right style="hair">
        <color auto="1"/>
      </right>
      <top/>
      <bottom/>
      <diagonal/>
    </border>
    <border>
      <left style="dashed">
        <color indexed="8"/>
      </left>
      <right style="dashed">
        <color indexed="8"/>
      </right>
      <top/>
      <bottom/>
      <diagonal/>
    </border>
  </borders>
  <cellStyleXfs count="5">
    <xf numFmtId="0" fontId="0" fillId="0" borderId="0"/>
    <xf numFmtId="43" fontId="18" fillId="0" borderId="0" applyFont="0" applyFill="0" applyBorder="0" applyAlignment="0" applyProtection="0"/>
    <xf numFmtId="0" fontId="1" fillId="0" borderId="0"/>
    <xf numFmtId="9" fontId="18" fillId="0" borderId="0" applyFont="0" applyFill="0" applyBorder="0" applyAlignment="0" applyProtection="0"/>
    <xf numFmtId="0" fontId="18" fillId="0" borderId="0"/>
  </cellStyleXfs>
  <cellXfs count="908">
    <xf numFmtId="0" fontId="0" fillId="0" borderId="0" xfId="0"/>
    <xf numFmtId="0" fontId="0" fillId="0" borderId="1" xfId="0" applyBorder="1" applyAlignment="1">
      <alignment horizontal="right"/>
    </xf>
    <xf numFmtId="4" fontId="0" fillId="0" borderId="0" xfId="0" applyNumberFormat="1"/>
    <xf numFmtId="165" fontId="0" fillId="0" borderId="1" xfId="0" applyNumberFormat="1" applyBorder="1" applyAlignment="1">
      <alignment horizontal="right"/>
    </xf>
    <xf numFmtId="0" fontId="0" fillId="0" borderId="1" xfId="0" applyBorder="1"/>
    <xf numFmtId="0" fontId="20" fillId="0" borderId="0" xfId="0" applyFont="1"/>
    <xf numFmtId="166" fontId="18" fillId="0" borderId="0" xfId="3" applyNumberFormat="1" applyFont="1" applyBorder="1"/>
    <xf numFmtId="4" fontId="0" fillId="0" borderId="0" xfId="0" applyNumberFormat="1" applyAlignment="1">
      <alignment horizontal="center"/>
    </xf>
    <xf numFmtId="169" fontId="0" fillId="0" borderId="0" xfId="0" applyNumberFormat="1" applyAlignment="1">
      <alignment horizontal="center"/>
    </xf>
    <xf numFmtId="0" fontId="21" fillId="0" borderId="0" xfId="0" applyFont="1" applyAlignment="1">
      <alignment horizontal="center"/>
    </xf>
    <xf numFmtId="0" fontId="0" fillId="0" borderId="0" xfId="0" quotePrefix="1"/>
    <xf numFmtId="165" fontId="21" fillId="0" borderId="0" xfId="0" applyNumberFormat="1" applyFont="1" applyAlignment="1">
      <alignment horizontal="center"/>
    </xf>
    <xf numFmtId="165" fontId="0" fillId="0" borderId="0" xfId="0" applyNumberFormat="1"/>
    <xf numFmtId="4" fontId="22" fillId="0" borderId="1" xfId="0" applyNumberFormat="1" applyFont="1" applyBorder="1" applyAlignment="1">
      <alignment horizontal="center" vertical="center"/>
    </xf>
    <xf numFmtId="10" fontId="7" fillId="0" borderId="1" xfId="3" applyNumberFormat="1" applyFont="1" applyBorder="1" applyAlignment="1">
      <alignment horizontal="center" vertical="center"/>
    </xf>
    <xf numFmtId="4" fontId="22" fillId="0" borderId="1" xfId="0" applyNumberFormat="1" applyFont="1" applyBorder="1" applyAlignment="1">
      <alignment horizontal="center" vertical="center" wrapText="1"/>
    </xf>
    <xf numFmtId="4" fontId="23" fillId="0" borderId="1" xfId="0" applyNumberFormat="1" applyFont="1" applyBorder="1" applyAlignment="1">
      <alignment horizontal="center" vertical="center"/>
    </xf>
    <xf numFmtId="4"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165" fontId="22" fillId="0" borderId="1" xfId="0" applyNumberFormat="1" applyFont="1" applyBorder="1" applyAlignment="1">
      <alignment horizontal="center" vertical="center"/>
    </xf>
    <xf numFmtId="0" fontId="25" fillId="0" borderId="0" xfId="0" applyFont="1"/>
    <xf numFmtId="0" fontId="9" fillId="0" borderId="0" xfId="0" applyFont="1" applyAlignment="1">
      <alignment horizontal="center"/>
    </xf>
    <xf numFmtId="4" fontId="3" fillId="0" borderId="0" xfId="0" applyNumberFormat="1" applyFont="1" applyAlignment="1">
      <alignment horizontal="right"/>
    </xf>
    <xf numFmtId="0" fontId="24" fillId="0" borderId="0" xfId="0" applyFont="1"/>
    <xf numFmtId="0" fontId="26" fillId="0" borderId="0" xfId="0" applyFont="1"/>
    <xf numFmtId="0" fontId="28" fillId="0" borderId="0" xfId="0" applyFont="1"/>
    <xf numFmtId="0" fontId="24" fillId="0" borderId="2" xfId="0" applyFont="1" applyBorder="1" applyAlignment="1">
      <alignment horizontal="center" vertical="center"/>
    </xf>
    <xf numFmtId="0" fontId="29" fillId="0" borderId="0" xfId="0" applyFont="1"/>
    <xf numFmtId="165" fontId="11" fillId="0" borderId="1" xfId="0" applyNumberFormat="1" applyFont="1" applyBorder="1" applyAlignment="1">
      <alignment horizontal="center" vertical="center" wrapText="1"/>
    </xf>
    <xf numFmtId="0" fontId="12" fillId="0" borderId="9" xfId="0" applyFont="1" applyBorder="1" applyAlignment="1">
      <alignment horizontal="center" vertical="center"/>
    </xf>
    <xf numFmtId="169" fontId="0" fillId="0" borderId="0" xfId="0" applyNumberFormat="1" applyAlignment="1">
      <alignment horizontal="right"/>
    </xf>
    <xf numFmtId="43" fontId="12" fillId="2" borderId="5" xfId="1" applyFont="1" applyFill="1" applyBorder="1" applyAlignment="1">
      <alignment horizontal="right" vertical="center"/>
    </xf>
    <xf numFmtId="170" fontId="12" fillId="0" borderId="9" xfId="1" applyNumberFormat="1" applyFont="1" applyBorder="1" applyAlignment="1">
      <alignment horizontal="center" vertical="center"/>
    </xf>
    <xf numFmtId="10" fontId="22" fillId="0" borderId="1" xfId="3" quotePrefix="1" applyNumberFormat="1" applyFont="1" applyBorder="1" applyAlignment="1">
      <alignment horizontal="center" vertical="center"/>
    </xf>
    <xf numFmtId="10" fontId="7" fillId="0" borderId="1" xfId="3" quotePrefix="1" applyNumberFormat="1" applyFont="1" applyBorder="1" applyAlignment="1">
      <alignment horizontal="center" vertical="center"/>
    </xf>
    <xf numFmtId="0" fontId="31" fillId="0" borderId="0" xfId="0" applyFont="1"/>
    <xf numFmtId="0" fontId="27" fillId="0" borderId="0" xfId="0" applyFont="1"/>
    <xf numFmtId="0" fontId="33" fillId="0" borderId="1" xfId="0" applyFont="1" applyBorder="1" applyAlignment="1">
      <alignment horizontal="center" vertical="center" wrapText="1"/>
    </xf>
    <xf numFmtId="0" fontId="34" fillId="0" borderId="1" xfId="0" applyFont="1" applyBorder="1" applyAlignment="1">
      <alignment horizontal="center" vertical="center" wrapText="1"/>
    </xf>
    <xf numFmtId="4" fontId="7" fillId="0" borderId="1" xfId="0" quotePrefix="1" applyNumberFormat="1" applyFont="1" applyBorder="1" applyAlignment="1">
      <alignment horizontal="center" vertical="center"/>
    </xf>
    <xf numFmtId="4" fontId="22" fillId="0" borderId="1" xfId="0" quotePrefix="1" applyNumberFormat="1" applyFont="1" applyBorder="1" applyAlignment="1">
      <alignment horizontal="center" vertical="center"/>
    </xf>
    <xf numFmtId="4" fontId="22" fillId="0" borderId="2" xfId="0" applyNumberFormat="1" applyFont="1" applyBorder="1" applyAlignment="1">
      <alignment horizontal="center" vertical="center"/>
    </xf>
    <xf numFmtId="0" fontId="26" fillId="0" borderId="0" xfId="0" applyFont="1" applyAlignment="1">
      <alignment horizontal="center"/>
    </xf>
    <xf numFmtId="0" fontId="37" fillId="0" borderId="0" xfId="0" applyFont="1"/>
    <xf numFmtId="43" fontId="27" fillId="0" borderId="1" xfId="1" quotePrefix="1" applyFont="1" applyBorder="1"/>
    <xf numFmtId="0" fontId="0" fillId="0" borderId="1" xfId="0" applyBorder="1" applyAlignment="1">
      <alignment horizontal="center" vertical="center" wrapText="1"/>
    </xf>
    <xf numFmtId="10" fontId="26" fillId="0" borderId="1" xfId="0" applyNumberFormat="1" applyFont="1" applyBorder="1" applyAlignment="1">
      <alignment horizontal="center" vertical="center" wrapText="1"/>
    </xf>
    <xf numFmtId="2" fontId="26" fillId="0" borderId="1" xfId="0" quotePrefix="1" applyNumberFormat="1" applyFont="1" applyBorder="1" applyAlignment="1">
      <alignment horizontal="center" vertical="center" wrapText="1"/>
    </xf>
    <xf numFmtId="0" fontId="5" fillId="0" borderId="0" xfId="0" applyFont="1" applyAlignment="1">
      <alignment horizontal="left" vertical="center"/>
    </xf>
    <xf numFmtId="0" fontId="28" fillId="0" borderId="1" xfId="0" applyFont="1" applyBorder="1" applyAlignment="1">
      <alignment horizontal="center"/>
    </xf>
    <xf numFmtId="4" fontId="22" fillId="2" borderId="1" xfId="0" applyNumberFormat="1" applyFont="1" applyFill="1" applyBorder="1" applyAlignment="1">
      <alignment horizontal="center" vertical="center"/>
    </xf>
    <xf numFmtId="166" fontId="6" fillId="0" borderId="1" xfId="3" applyNumberFormat="1" applyFont="1" applyBorder="1" applyAlignment="1">
      <alignment horizontal="center" vertical="center"/>
    </xf>
    <xf numFmtId="0" fontId="0" fillId="0" borderId="0" xfId="0" applyAlignment="1">
      <alignment horizontal="center"/>
    </xf>
    <xf numFmtId="0" fontId="38" fillId="0" borderId="13" xfId="0" applyFont="1" applyBorder="1" applyAlignment="1">
      <alignment horizontal="center" vertical="center" wrapText="1"/>
    </xf>
    <xf numFmtId="0" fontId="24" fillId="2" borderId="1" xfId="0" applyFont="1" applyFill="1" applyBorder="1" applyAlignment="1">
      <alignment horizontal="center"/>
    </xf>
    <xf numFmtId="0" fontId="21" fillId="0" borderId="0" xfId="0" applyFont="1" applyAlignment="1">
      <alignment horizontal="left"/>
    </xf>
    <xf numFmtId="0" fontId="30" fillId="0" borderId="1" xfId="0" applyFont="1" applyBorder="1" applyAlignment="1">
      <alignment horizontal="center" vertical="center" wrapText="1"/>
    </xf>
    <xf numFmtId="0" fontId="0" fillId="0" borderId="1" xfId="0" applyBorder="1" applyAlignment="1">
      <alignment horizontal="center"/>
    </xf>
    <xf numFmtId="0" fontId="33" fillId="0" borderId="0" xfId="0" applyFont="1"/>
    <xf numFmtId="10" fontId="33" fillId="0" borderId="1" xfId="0" applyNumberFormat="1" applyFont="1" applyBorder="1" applyAlignment="1">
      <alignment horizontal="center"/>
    </xf>
    <xf numFmtId="0" fontId="33" fillId="0" borderId="0" xfId="0" applyFont="1" applyAlignment="1">
      <alignment horizontal="center"/>
    </xf>
    <xf numFmtId="43" fontId="33" fillId="0" borderId="1" xfId="1" applyFont="1" applyBorder="1"/>
    <xf numFmtId="0" fontId="33" fillId="0" borderId="0" xfId="0" applyFont="1" applyAlignment="1">
      <alignment horizontal="center" vertical="center" wrapText="1"/>
    </xf>
    <xf numFmtId="164" fontId="33" fillId="0" borderId="0" xfId="0" applyNumberFormat="1" applyFont="1"/>
    <xf numFmtId="0" fontId="33" fillId="0" borderId="7" xfId="0" applyFont="1" applyBorder="1" applyAlignment="1">
      <alignment horizontal="center" vertical="center" wrapText="1"/>
    </xf>
    <xf numFmtId="0" fontId="41" fillId="0" borderId="0" xfId="0" applyFont="1"/>
    <xf numFmtId="0" fontId="41" fillId="0" borderId="1" xfId="0" applyFont="1" applyBorder="1" applyAlignment="1">
      <alignment horizontal="center" vertical="center" wrapText="1"/>
    </xf>
    <xf numFmtId="43" fontId="43" fillId="0" borderId="1" xfId="1" quotePrefix="1" applyFont="1" applyBorder="1"/>
    <xf numFmtId="0" fontId="27" fillId="0" borderId="1" xfId="0" applyFont="1" applyBorder="1" applyAlignment="1">
      <alignment horizontal="center" vertical="center" wrapText="1"/>
    </xf>
    <xf numFmtId="2" fontId="43" fillId="0" borderId="1" xfId="0" quotePrefix="1" applyNumberFormat="1" applyFont="1" applyBorder="1" applyAlignment="1">
      <alignment horizontal="center" vertical="center" wrapText="1"/>
    </xf>
    <xf numFmtId="0" fontId="42" fillId="0" borderId="1" xfId="0" applyFont="1" applyBorder="1" applyAlignment="1">
      <alignment horizontal="center" vertical="center" wrapText="1"/>
    </xf>
    <xf numFmtId="164" fontId="41" fillId="2" borderId="1" xfId="0" applyNumberFormat="1" applyFont="1" applyFill="1" applyBorder="1" applyAlignment="1">
      <alignment horizontal="center" vertical="center" wrapText="1"/>
    </xf>
    <xf numFmtId="174" fontId="41" fillId="2" borderId="1" xfId="0" applyNumberFormat="1" applyFont="1" applyFill="1" applyBorder="1" applyAlignment="1">
      <alignment horizontal="center" vertical="center" wrapText="1"/>
    </xf>
    <xf numFmtId="174" fontId="41" fillId="0" borderId="1" xfId="0" applyNumberFormat="1" applyFont="1" applyBorder="1" applyAlignment="1">
      <alignment horizontal="center" vertical="center" wrapText="1"/>
    </xf>
    <xf numFmtId="164" fontId="33" fillId="2" borderId="1" xfId="0" applyNumberFormat="1" applyFont="1" applyFill="1" applyBorder="1" applyAlignment="1">
      <alignment horizontal="center" vertical="center" wrapText="1"/>
    </xf>
    <xf numFmtId="174" fontId="33" fillId="2" borderId="1" xfId="0" applyNumberFormat="1" applyFont="1" applyFill="1" applyBorder="1" applyAlignment="1">
      <alignment horizontal="center" vertical="center" wrapText="1"/>
    </xf>
    <xf numFmtId="0" fontId="33" fillId="0" borderId="0" xfId="0" applyFont="1" applyAlignment="1">
      <alignment wrapText="1"/>
    </xf>
    <xf numFmtId="0" fontId="35" fillId="0" borderId="1" xfId="0" applyFont="1" applyBorder="1" applyAlignment="1">
      <alignment horizontal="center" vertical="center" wrapText="1"/>
    </xf>
    <xf numFmtId="0" fontId="41" fillId="0" borderId="14" xfId="0" applyFont="1" applyBorder="1" applyAlignment="1">
      <alignment horizontal="center" vertical="center" wrapText="1"/>
    </xf>
    <xf numFmtId="0" fontId="17" fillId="0" borderId="0" xfId="0" applyFont="1"/>
    <xf numFmtId="0" fontId="17" fillId="0" borderId="0" xfId="0" applyFont="1" applyAlignment="1">
      <alignment horizontal="center" vertical="center" wrapText="1"/>
    </xf>
    <xf numFmtId="174" fontId="17" fillId="0" borderId="1" xfId="1" applyNumberFormat="1" applyFont="1" applyBorder="1" applyAlignment="1">
      <alignment horizontal="left" vertical="center"/>
    </xf>
    <xf numFmtId="164" fontId="41" fillId="0" borderId="1" xfId="0" applyNumberFormat="1" applyFont="1" applyBorder="1" applyAlignment="1">
      <alignment horizontal="center" vertical="center" wrapText="1"/>
    </xf>
    <xf numFmtId="174" fontId="17" fillId="0" borderId="1" xfId="1" applyNumberFormat="1" applyFont="1" applyBorder="1" applyAlignment="1">
      <alignment horizontal="center" vertical="center" wrapText="1"/>
    </xf>
    <xf numFmtId="174" fontId="17" fillId="0" borderId="1" xfId="1" quotePrefix="1" applyNumberFormat="1" applyFont="1" applyBorder="1" applyAlignment="1">
      <alignment horizontal="center" vertical="center" wrapText="1"/>
    </xf>
    <xf numFmtId="175" fontId="15" fillId="0" borderId="0" xfId="1" applyNumberFormat="1" applyFont="1"/>
    <xf numFmtId="174" fontId="17"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174" fontId="17" fillId="0" borderId="0" xfId="1" applyNumberFormat="1" applyFont="1" applyAlignment="1">
      <alignment horizontal="left" vertical="center"/>
    </xf>
    <xf numFmtId="174" fontId="16" fillId="0" borderId="0" xfId="1" applyNumberFormat="1" applyFont="1" applyAlignment="1">
      <alignment horizontal="center" vertical="center" wrapText="1"/>
    </xf>
    <xf numFmtId="174" fontId="16" fillId="0" borderId="0" xfId="1" quotePrefix="1" applyNumberFormat="1" applyFont="1" applyAlignment="1">
      <alignment horizontal="center" vertical="center" wrapText="1"/>
    </xf>
    <xf numFmtId="174" fontId="16" fillId="0" borderId="0" xfId="1" applyNumberFormat="1" applyFont="1" applyBorder="1" applyAlignment="1">
      <alignment horizontal="center" vertical="center" wrapText="1"/>
    </xf>
    <xf numFmtId="0" fontId="44" fillId="0" borderId="0" xfId="0" applyFont="1" applyAlignment="1">
      <alignment horizontal="center" vertical="center" wrapText="1"/>
    </xf>
    <xf numFmtId="43" fontId="45" fillId="0" borderId="1" xfId="1" applyFont="1" applyBorder="1" applyAlignment="1">
      <alignment horizontal="center" vertical="center" wrapText="1"/>
    </xf>
    <xf numFmtId="43" fontId="45" fillId="0" borderId="1" xfId="1" applyFont="1" applyFill="1" applyBorder="1" applyAlignment="1">
      <alignment horizontal="center" vertical="center" wrapText="1"/>
    </xf>
    <xf numFmtId="43" fontId="45" fillId="0" borderId="1" xfId="1" applyFont="1" applyBorder="1" applyAlignment="1">
      <alignment vertical="center" wrapText="1"/>
    </xf>
    <xf numFmtId="4" fontId="45" fillId="0" borderId="1" xfId="0" applyNumberFormat="1" applyFont="1" applyBorder="1" applyAlignment="1">
      <alignment horizontal="center" vertical="center" wrapText="1"/>
    </xf>
    <xf numFmtId="174" fontId="46" fillId="0" borderId="1" xfId="0" applyNumberFormat="1" applyFont="1" applyBorder="1" applyAlignment="1">
      <alignment horizontal="center" vertical="center" wrapText="1"/>
    </xf>
    <xf numFmtId="174" fontId="46" fillId="0" borderId="1" xfId="0" applyNumberFormat="1" applyFont="1" applyBorder="1"/>
    <xf numFmtId="0" fontId="46" fillId="0" borderId="1" xfId="0" quotePrefix="1" applyFont="1" applyBorder="1"/>
    <xf numFmtId="0" fontId="46" fillId="0" borderId="1" xfId="0" applyFont="1" applyBorder="1"/>
    <xf numFmtId="164" fontId="46" fillId="0" borderId="1" xfId="0" applyNumberFormat="1" applyFont="1" applyBorder="1"/>
    <xf numFmtId="4" fontId="46" fillId="0" borderId="1" xfId="0" applyNumberFormat="1" applyFont="1" applyBorder="1" applyAlignment="1">
      <alignment horizontal="center" vertical="center" wrapText="1"/>
    </xf>
    <xf numFmtId="177" fontId="46" fillId="0" borderId="1" xfId="0" applyNumberFormat="1" applyFont="1" applyBorder="1"/>
    <xf numFmtId="0" fontId="25" fillId="0" borderId="0" xfId="0" applyFont="1" applyAlignment="1">
      <alignment horizontal="center"/>
    </xf>
    <xf numFmtId="43" fontId="25" fillId="0" borderId="1" xfId="1" applyFont="1" applyBorder="1"/>
    <xf numFmtId="177" fontId="0" fillId="0" borderId="0" xfId="0" applyNumberFormat="1"/>
    <xf numFmtId="164" fontId="0" fillId="0" borderId="0" xfId="0" applyNumberFormat="1"/>
    <xf numFmtId="0" fontId="0" fillId="0" borderId="0" xfId="0" applyAlignment="1">
      <alignment horizontal="center" vertical="center" wrapText="1"/>
    </xf>
    <xf numFmtId="0" fontId="47" fillId="0" borderId="0" xfId="0" applyFont="1" applyAlignment="1">
      <alignment horizontal="center" vertical="center" wrapText="1"/>
    </xf>
    <xf numFmtId="178" fontId="0" fillId="0" borderId="0" xfId="0" applyNumberFormat="1"/>
    <xf numFmtId="0" fontId="46" fillId="0" borderId="0" xfId="0" applyFont="1"/>
    <xf numFmtId="0" fontId="46" fillId="0" borderId="2" xfId="0" applyFont="1" applyBorder="1" applyAlignment="1">
      <alignment horizontal="center" vertical="center" wrapText="1"/>
    </xf>
    <xf numFmtId="0" fontId="46" fillId="0" borderId="1" xfId="0" applyFont="1" applyBorder="1" applyAlignment="1">
      <alignment horizontal="center" vertical="center" wrapText="1"/>
    </xf>
    <xf numFmtId="0" fontId="46" fillId="0" borderId="0" xfId="0" applyFont="1" applyAlignment="1">
      <alignment horizontal="center" vertical="center" wrapText="1"/>
    </xf>
    <xf numFmtId="179" fontId="46" fillId="0" borderId="1" xfId="1" applyNumberFormat="1" applyFont="1" applyBorder="1" applyAlignment="1">
      <alignment horizontal="center" vertical="center" wrapText="1"/>
    </xf>
    <xf numFmtId="4" fontId="41" fillId="3" borderId="10" xfId="0" applyNumberFormat="1" applyFont="1" applyFill="1" applyBorder="1" applyAlignment="1">
      <alignment horizontal="center" vertical="center" wrapText="1"/>
    </xf>
    <xf numFmtId="4" fontId="17" fillId="0" borderId="1" xfId="0" applyNumberFormat="1" applyFont="1" applyBorder="1" applyAlignment="1">
      <alignment horizontal="center" vertical="center" wrapText="1"/>
    </xf>
    <xf numFmtId="4" fontId="46" fillId="0" borderId="0" xfId="0" applyNumberFormat="1" applyFont="1" applyAlignment="1">
      <alignment horizontal="center" vertical="center" wrapText="1"/>
    </xf>
    <xf numFmtId="164" fontId="46" fillId="0" borderId="0" xfId="0" applyNumberFormat="1" applyFont="1" applyAlignment="1">
      <alignment horizontal="center" vertical="center" wrapText="1"/>
    </xf>
    <xf numFmtId="172" fontId="46" fillId="0" borderId="0" xfId="0" applyNumberFormat="1" applyFont="1" applyAlignment="1">
      <alignment horizontal="center" vertical="center" wrapText="1"/>
    </xf>
    <xf numFmtId="43" fontId="46" fillId="0" borderId="0" xfId="1" applyFont="1" applyFill="1" applyBorder="1" applyAlignment="1">
      <alignment horizontal="center" vertical="center" wrapText="1"/>
    </xf>
    <xf numFmtId="4" fontId="46" fillId="0" borderId="1" xfId="0" applyNumberFormat="1" applyFont="1" applyBorder="1"/>
    <xf numFmtId="0" fontId="46" fillId="0" borderId="1" xfId="0" applyFont="1" applyBorder="1" applyAlignment="1">
      <alignment horizontal="center"/>
    </xf>
    <xf numFmtId="0" fontId="0" fillId="0" borderId="13" xfId="0" applyBorder="1" applyAlignment="1">
      <alignment horizontal="center"/>
    </xf>
    <xf numFmtId="164" fontId="0" fillId="0" borderId="13" xfId="0" applyNumberFormat="1" applyBorder="1" applyAlignment="1">
      <alignment horizontal="center" vertical="center" wrapText="1"/>
    </xf>
    <xf numFmtId="43" fontId="18" fillId="3" borderId="13" xfId="1" applyFont="1" applyFill="1" applyBorder="1" applyAlignment="1">
      <alignment horizontal="center" vertical="center" wrapText="1"/>
    </xf>
    <xf numFmtId="43" fontId="18" fillId="0" borderId="14" xfId="1" applyFont="1" applyFill="1" applyBorder="1" applyAlignment="1">
      <alignment horizontal="center" vertical="center" wrapText="1"/>
    </xf>
    <xf numFmtId="164" fontId="0" fillId="0" borderId="1" xfId="0" applyNumberFormat="1" applyBorder="1" applyAlignment="1">
      <alignment horizontal="center" vertical="center" wrapText="1"/>
    </xf>
    <xf numFmtId="43" fontId="18" fillId="3" borderId="1" xfId="1" applyFont="1" applyFill="1" applyBorder="1" applyAlignment="1">
      <alignment horizontal="center" vertical="center" wrapText="1"/>
    </xf>
    <xf numFmtId="43" fontId="18" fillId="3" borderId="0" xfId="1" applyFont="1" applyFill="1" applyBorder="1" applyAlignment="1">
      <alignment horizontal="center" vertical="center" wrapText="1"/>
    </xf>
    <xf numFmtId="164" fontId="0" fillId="0" borderId="0" xfId="0" applyNumberFormat="1" applyAlignment="1">
      <alignment horizontal="center" vertical="center" wrapText="1"/>
    </xf>
    <xf numFmtId="43" fontId="18" fillId="0" borderId="0" xfId="1" applyFont="1" applyFill="1" applyBorder="1" applyAlignment="1">
      <alignment horizontal="center" vertical="center" wrapText="1"/>
    </xf>
    <xf numFmtId="0" fontId="47" fillId="0" borderId="1" xfId="0" applyFont="1" applyBorder="1" applyAlignment="1">
      <alignment horizontal="center" vertical="center" wrapText="1"/>
    </xf>
    <xf numFmtId="4" fontId="46" fillId="0" borderId="1" xfId="0" applyNumberFormat="1" applyFont="1" applyBorder="1" applyAlignment="1">
      <alignment horizontal="center"/>
    </xf>
    <xf numFmtId="43" fontId="18" fillId="0" borderId="1" xfId="1" applyFont="1" applyBorder="1" applyAlignment="1">
      <alignment horizontal="right"/>
    </xf>
    <xf numFmtId="43" fontId="46" fillId="0" borderId="1" xfId="1" applyFont="1" applyBorder="1" applyAlignment="1">
      <alignment horizontal="center"/>
    </xf>
    <xf numFmtId="0" fontId="19" fillId="3" borderId="2" xfId="0" applyFont="1" applyFill="1" applyBorder="1" applyAlignment="1">
      <alignment horizontal="center" vertical="center" wrapText="1"/>
    </xf>
    <xf numFmtId="4" fontId="25" fillId="0" borderId="1" xfId="0" applyNumberFormat="1" applyFont="1" applyBorder="1" applyAlignment="1">
      <alignment horizontal="center"/>
    </xf>
    <xf numFmtId="0" fontId="25" fillId="0" borderId="1" xfId="0" applyFont="1" applyBorder="1" applyAlignment="1">
      <alignment horizontal="center"/>
    </xf>
    <xf numFmtId="4" fontId="25" fillId="0" borderId="1" xfId="0" applyNumberFormat="1" applyFont="1" applyBorder="1"/>
    <xf numFmtId="0" fontId="19" fillId="3" borderId="1" xfId="0" applyFont="1" applyFill="1" applyBorder="1" applyAlignment="1">
      <alignment horizontal="center" vertical="center" wrapText="1"/>
    </xf>
    <xf numFmtId="4" fontId="48" fillId="0" borderId="1" xfId="0" applyNumberFormat="1" applyFont="1" applyBorder="1" applyAlignment="1">
      <alignment horizontal="center" vertical="center" wrapText="1"/>
    </xf>
    <xf numFmtId="0" fontId="49" fillId="0" borderId="1" xfId="0" applyFont="1" applyBorder="1" applyAlignment="1">
      <alignment horizontal="center" vertical="center" wrapText="1"/>
    </xf>
    <xf numFmtId="4" fontId="49" fillId="0" borderId="1" xfId="0" applyNumberFormat="1" applyFont="1" applyBorder="1" applyAlignment="1">
      <alignment horizontal="center" vertical="center" wrapText="1"/>
    </xf>
    <xf numFmtId="179" fontId="49" fillId="0" borderId="1" xfId="1" applyNumberFormat="1" applyFont="1" applyBorder="1" applyAlignment="1">
      <alignment horizontal="center" vertical="center" wrapText="1"/>
    </xf>
    <xf numFmtId="0" fontId="47" fillId="0" borderId="9" xfId="0" applyFont="1" applyBorder="1" applyAlignment="1">
      <alignment horizontal="center" vertical="center" wrapText="1"/>
    </xf>
    <xf numFmtId="4" fontId="46" fillId="0" borderId="9" xfId="0" applyNumberFormat="1" applyFont="1" applyBorder="1" applyAlignment="1">
      <alignment horizontal="center"/>
    </xf>
    <xf numFmtId="4" fontId="46" fillId="0" borderId="0" xfId="0" applyNumberFormat="1" applyFont="1" applyAlignment="1">
      <alignment horizontal="center"/>
    </xf>
    <xf numFmtId="0" fontId="19" fillId="3" borderId="5" xfId="0" applyFont="1" applyFill="1" applyBorder="1" applyAlignment="1">
      <alignment horizontal="center" vertical="center" wrapText="1"/>
    </xf>
    <xf numFmtId="4" fontId="25" fillId="0" borderId="9" xfId="0" applyNumberFormat="1" applyFont="1" applyBorder="1" applyAlignment="1">
      <alignment horizontal="center"/>
    </xf>
    <xf numFmtId="0" fontId="25" fillId="0" borderId="9" xfId="0" applyFont="1" applyBorder="1" applyAlignment="1">
      <alignment horizontal="center"/>
    </xf>
    <xf numFmtId="0" fontId="19" fillId="0" borderId="0" xfId="0" applyFont="1" applyAlignment="1">
      <alignment horizontal="center" vertical="center" wrapText="1"/>
    </xf>
    <xf numFmtId="4" fontId="25" fillId="0" borderId="0" xfId="0" applyNumberFormat="1" applyFont="1" applyAlignment="1">
      <alignment horizontal="center"/>
    </xf>
    <xf numFmtId="0" fontId="19" fillId="0" borderId="1" xfId="0" applyFont="1" applyBorder="1" applyAlignment="1">
      <alignment horizontal="center" vertical="center" wrapText="1"/>
    </xf>
    <xf numFmtId="4" fontId="41" fillId="0" borderId="1" xfId="0" applyNumberFormat="1" applyFont="1" applyBorder="1" applyAlignment="1">
      <alignment horizontal="center"/>
    </xf>
    <xf numFmtId="43" fontId="46" fillId="0" borderId="1" xfId="1" applyFont="1" applyBorder="1" applyAlignment="1">
      <alignment horizontal="center" vertical="center" wrapText="1"/>
    </xf>
    <xf numFmtId="4" fontId="41" fillId="3" borderId="6" xfId="0" applyNumberFormat="1" applyFont="1" applyFill="1" applyBorder="1" applyAlignment="1">
      <alignment horizontal="center" vertical="center" wrapText="1"/>
    </xf>
    <xf numFmtId="4" fontId="50" fillId="0" borderId="0" xfId="0" applyNumberFormat="1" applyFont="1" applyAlignment="1">
      <alignment horizontal="center" vertical="center" wrapText="1"/>
    </xf>
    <xf numFmtId="0" fontId="49" fillId="0" borderId="0" xfId="0" applyFont="1" applyAlignment="1">
      <alignment horizontal="center" vertical="center" wrapText="1"/>
    </xf>
    <xf numFmtId="4" fontId="50" fillId="2" borderId="10" xfId="0" applyNumberFormat="1" applyFont="1" applyFill="1" applyBorder="1" applyAlignment="1">
      <alignment horizontal="center" vertical="center" wrapText="1"/>
    </xf>
    <xf numFmtId="43" fontId="45" fillId="0" borderId="0" xfId="1" applyFont="1" applyFill="1" applyBorder="1" applyAlignment="1">
      <alignment horizontal="center" vertical="center" wrapText="1"/>
    </xf>
    <xf numFmtId="174" fontId="46" fillId="0" borderId="0" xfId="0" applyNumberFormat="1" applyFont="1" applyAlignment="1">
      <alignment horizontal="center" vertical="center" wrapText="1"/>
    </xf>
    <xf numFmtId="4" fontId="48" fillId="0" borderId="0" xfId="0" applyNumberFormat="1" applyFont="1" applyAlignment="1">
      <alignment horizontal="center" vertical="center" wrapText="1"/>
    </xf>
    <xf numFmtId="4" fontId="33" fillId="0" borderId="0" xfId="0" applyNumberFormat="1" applyFont="1" applyAlignment="1">
      <alignment horizontal="center"/>
    </xf>
    <xf numFmtId="171" fontId="33" fillId="0" borderId="0" xfId="1" applyNumberFormat="1" applyFont="1"/>
    <xf numFmtId="180" fontId="33" fillId="0" borderId="0" xfId="0" applyNumberFormat="1" applyFont="1"/>
    <xf numFmtId="43" fontId="33" fillId="0" borderId="1" xfId="1" quotePrefix="1" applyFont="1" applyBorder="1"/>
    <xf numFmtId="166" fontId="7" fillId="0" borderId="1" xfId="3" applyNumberFormat="1" applyFont="1" applyBorder="1" applyAlignment="1">
      <alignment horizontal="center" vertical="center"/>
    </xf>
    <xf numFmtId="10" fontId="22" fillId="0" borderId="1" xfId="3" quotePrefix="1" applyNumberFormat="1" applyFont="1" applyFill="1" applyBorder="1" applyAlignment="1">
      <alignment horizontal="center" vertical="center"/>
    </xf>
    <xf numFmtId="10" fontId="7" fillId="0" borderId="1" xfId="3" quotePrefix="1" applyNumberFormat="1" applyFont="1" applyFill="1" applyBorder="1" applyAlignment="1">
      <alignment horizontal="center" vertical="center"/>
    </xf>
    <xf numFmtId="166" fontId="22" fillId="0" borderId="1" xfId="3" quotePrefix="1" applyNumberFormat="1" applyFont="1" applyFill="1" applyBorder="1" applyAlignment="1">
      <alignment horizontal="center" vertical="center"/>
    </xf>
    <xf numFmtId="166" fontId="7" fillId="0" borderId="1" xfId="3" quotePrefix="1" applyNumberFormat="1" applyFont="1" applyFill="1" applyBorder="1" applyAlignment="1">
      <alignment horizontal="center" vertical="center"/>
    </xf>
    <xf numFmtId="4" fontId="24" fillId="0" borderId="1" xfId="0" quotePrefix="1" applyNumberFormat="1" applyFont="1" applyBorder="1" applyAlignment="1">
      <alignment horizontal="center" vertical="center"/>
    </xf>
    <xf numFmtId="43" fontId="45" fillId="0" borderId="9" xfId="1" applyFont="1" applyBorder="1" applyAlignment="1">
      <alignment horizontal="center" vertical="center" wrapText="1"/>
    </xf>
    <xf numFmtId="174" fontId="46" fillId="0" borderId="9" xfId="0" applyNumberFormat="1" applyFont="1" applyBorder="1" applyAlignment="1">
      <alignment horizontal="center" vertical="center" wrapText="1"/>
    </xf>
    <xf numFmtId="43" fontId="25" fillId="0" borderId="9" xfId="1" applyFont="1" applyBorder="1"/>
    <xf numFmtId="43" fontId="45" fillId="0" borderId="0" xfId="1" applyFont="1" applyBorder="1" applyAlignment="1">
      <alignment horizontal="center" vertical="center" wrapText="1"/>
    </xf>
    <xf numFmtId="4" fontId="45" fillId="0" borderId="0" xfId="0" applyNumberFormat="1" applyFont="1" applyAlignment="1">
      <alignment horizontal="center" vertical="center" wrapText="1"/>
    </xf>
    <xf numFmtId="4" fontId="41" fillId="0" borderId="0" xfId="0" applyNumberFormat="1" applyFont="1" applyAlignment="1">
      <alignment horizontal="center"/>
    </xf>
    <xf numFmtId="0" fontId="33" fillId="0" borderId="0" xfId="0" applyFont="1" applyAlignment="1">
      <alignment horizontal="center" wrapText="1"/>
    </xf>
    <xf numFmtId="0" fontId="33" fillId="0" borderId="15" xfId="0" applyFont="1" applyBorder="1" applyAlignment="1">
      <alignment horizontal="center" vertical="center" wrapText="1"/>
    </xf>
    <xf numFmtId="10" fontId="7" fillId="0" borderId="1" xfId="3" applyNumberFormat="1" applyFont="1" applyFill="1" applyBorder="1" applyAlignment="1">
      <alignment horizontal="center" vertical="center"/>
    </xf>
    <xf numFmtId="179" fontId="33" fillId="0" borderId="1" xfId="0" applyNumberFormat="1" applyFont="1" applyBorder="1" applyAlignment="1">
      <alignment horizontal="center"/>
    </xf>
    <xf numFmtId="0" fontId="7" fillId="0" borderId="0" xfId="0" applyFont="1" applyAlignment="1">
      <alignment horizontal="center" vertical="center" wrapText="1"/>
    </xf>
    <xf numFmtId="0" fontId="28" fillId="0" borderId="0" xfId="0" applyFont="1" applyAlignment="1">
      <alignment horizontal="center" vertical="center"/>
    </xf>
    <xf numFmtId="0" fontId="31" fillId="0" borderId="0" xfId="0" applyFont="1" applyAlignment="1">
      <alignment horizontal="left"/>
    </xf>
    <xf numFmtId="0" fontId="34" fillId="0" borderId="0" xfId="0" applyFont="1"/>
    <xf numFmtId="166" fontId="34" fillId="0" borderId="0" xfId="0" applyNumberFormat="1" applyFont="1"/>
    <xf numFmtId="0" fontId="34" fillId="0" borderId="0" xfId="0" applyFont="1" applyAlignment="1">
      <alignment horizontal="center"/>
    </xf>
    <xf numFmtId="10" fontId="34" fillId="0" borderId="0" xfId="0" applyNumberFormat="1" applyFont="1" applyAlignment="1">
      <alignment horizontal="center"/>
    </xf>
    <xf numFmtId="43" fontId="34" fillId="0" borderId="1" xfId="1" applyFont="1" applyBorder="1" applyAlignment="1">
      <alignment horizontal="center"/>
    </xf>
    <xf numFmtId="9" fontId="34" fillId="0" borderId="1" xfId="3" applyFont="1" applyBorder="1"/>
    <xf numFmtId="10" fontId="34" fillId="0" borderId="1" xfId="3" applyNumberFormat="1" applyFont="1" applyBorder="1" applyAlignment="1">
      <alignment horizontal="center"/>
    </xf>
    <xf numFmtId="10" fontId="34" fillId="0" borderId="1" xfId="3" applyNumberFormat="1" applyFont="1" applyBorder="1"/>
    <xf numFmtId="0" fontId="34" fillId="0" borderId="1" xfId="0" applyFont="1" applyBorder="1" applyAlignment="1">
      <alignment horizontal="center"/>
    </xf>
    <xf numFmtId="4" fontId="34" fillId="0" borderId="1" xfId="0" applyNumberFormat="1" applyFont="1" applyBorder="1" applyAlignment="1">
      <alignment horizontal="center"/>
    </xf>
    <xf numFmtId="10" fontId="34" fillId="0" borderId="1" xfId="0" applyNumberFormat="1" applyFont="1" applyBorder="1" applyAlignment="1">
      <alignment horizontal="center"/>
    </xf>
    <xf numFmtId="43" fontId="34" fillId="0" borderId="1" xfId="1" applyFont="1" applyBorder="1"/>
    <xf numFmtId="4" fontId="34" fillId="0" borderId="0" xfId="0" applyNumberFormat="1" applyFont="1"/>
    <xf numFmtId="10" fontId="34" fillId="0" borderId="0" xfId="0" applyNumberFormat="1" applyFont="1"/>
    <xf numFmtId="9" fontId="34" fillId="0" borderId="0" xfId="3" applyFont="1" applyBorder="1"/>
    <xf numFmtId="10" fontId="34" fillId="0" borderId="0" xfId="3" applyNumberFormat="1" applyFont="1" applyBorder="1"/>
    <xf numFmtId="0" fontId="33" fillId="0" borderId="10" xfId="0" applyFont="1" applyBorder="1"/>
    <xf numFmtId="10" fontId="3" fillId="0" borderId="9" xfId="3" applyNumberFormat="1" applyFont="1" applyBorder="1" applyAlignment="1">
      <alignment horizontal="center" vertical="center"/>
    </xf>
    <xf numFmtId="10" fontId="3" fillId="0" borderId="1" xfId="3" applyNumberFormat="1" applyFont="1" applyBorder="1" applyAlignment="1">
      <alignment horizontal="center" vertical="center"/>
    </xf>
    <xf numFmtId="0" fontId="39" fillId="0" borderId="0" xfId="0" applyFont="1"/>
    <xf numFmtId="169" fontId="33" fillId="2" borderId="0" xfId="0" applyNumberFormat="1" applyFont="1" applyFill="1" applyAlignment="1">
      <alignment horizontal="right"/>
    </xf>
    <xf numFmtId="167" fontId="3" fillId="0" borderId="9" xfId="3" applyNumberFormat="1" applyFont="1" applyBorder="1" applyAlignment="1">
      <alignment horizontal="center" vertical="center"/>
    </xf>
    <xf numFmtId="166" fontId="3" fillId="0" borderId="9" xfId="3" applyNumberFormat="1" applyFont="1" applyBorder="1" applyAlignment="1">
      <alignment horizontal="center" vertical="center"/>
    </xf>
    <xf numFmtId="43" fontId="39" fillId="0" borderId="0" xfId="1" applyFont="1" applyFill="1" applyBorder="1" applyAlignment="1">
      <alignment horizontal="center"/>
    </xf>
    <xf numFmtId="0" fontId="39" fillId="0" borderId="0" xfId="0" applyFont="1" applyAlignment="1">
      <alignment horizontal="center" vertical="center"/>
    </xf>
    <xf numFmtId="169" fontId="33" fillId="0" borderId="1" xfId="0" applyNumberFormat="1" applyFont="1" applyBorder="1" applyAlignment="1">
      <alignment horizontal="right" vertical="center"/>
    </xf>
    <xf numFmtId="2" fontId="39" fillId="0" borderId="1" xfId="0" applyNumberFormat="1" applyFont="1" applyBorder="1" applyAlignment="1">
      <alignment horizontal="center" vertical="center"/>
    </xf>
    <xf numFmtId="43" fontId="39" fillId="0" borderId="0" xfId="1" applyFont="1" applyBorder="1" applyAlignment="1">
      <alignment horizontal="center"/>
    </xf>
    <xf numFmtId="43" fontId="3" fillId="0" borderId="1" xfId="1" applyFont="1" applyBorder="1" applyAlignment="1">
      <alignment horizontal="center" vertical="center"/>
    </xf>
    <xf numFmtId="0" fontId="50" fillId="0" borderId="0" xfId="0" quotePrefix="1" applyFont="1"/>
    <xf numFmtId="169" fontId="33" fillId="0" borderId="0" xfId="0" applyNumberFormat="1" applyFont="1" applyAlignment="1">
      <alignment horizontal="right"/>
    </xf>
    <xf numFmtId="0" fontId="34" fillId="0" borderId="0" xfId="0" applyFont="1" applyAlignment="1">
      <alignment horizontal="center" vertical="center" wrapText="1"/>
    </xf>
    <xf numFmtId="0" fontId="51" fillId="0" borderId="0" xfId="0" applyFont="1" applyAlignment="1">
      <alignment horizontal="center" vertical="center" wrapText="1"/>
    </xf>
    <xf numFmtId="0" fontId="3" fillId="0" borderId="1" xfId="0" applyFont="1" applyBorder="1" applyAlignment="1">
      <alignment horizontal="left" vertical="center"/>
    </xf>
    <xf numFmtId="4" fontId="7" fillId="0" borderId="1" xfId="0" applyNumberFormat="1" applyFont="1" applyBorder="1" applyAlignment="1">
      <alignment horizontal="center" vertical="center"/>
    </xf>
    <xf numFmtId="164" fontId="24" fillId="0" borderId="1" xfId="0" applyNumberFormat="1" applyFont="1" applyBorder="1" applyAlignment="1">
      <alignment horizontal="center" vertical="center"/>
    </xf>
    <xf numFmtId="43" fontId="39" fillId="0" borderId="0" xfId="1" applyFont="1" applyBorder="1" applyAlignment="1">
      <alignment horizontal="center"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0" fontId="26" fillId="0" borderId="0" xfId="0" applyFont="1" applyAlignment="1">
      <alignment horizontal="right"/>
    </xf>
    <xf numFmtId="165" fontId="26" fillId="0" borderId="0" xfId="0" applyNumberFormat="1" applyFont="1" applyAlignment="1">
      <alignment horizontal="right"/>
    </xf>
    <xf numFmtId="4" fontId="26" fillId="0" borderId="0" xfId="0" applyNumberFormat="1" applyFont="1"/>
    <xf numFmtId="0" fontId="26" fillId="0" borderId="0" xfId="0" applyFont="1" applyAlignment="1">
      <alignment horizontal="center" vertical="center" wrapText="1"/>
    </xf>
    <xf numFmtId="0" fontId="32" fillId="0" borderId="0" xfId="0" applyFont="1"/>
    <xf numFmtId="10" fontId="26" fillId="0" borderId="0" xfId="0" applyNumberFormat="1" applyFont="1"/>
    <xf numFmtId="166" fontId="26" fillId="0" borderId="0" xfId="3" applyNumberFormat="1" applyFont="1"/>
    <xf numFmtId="0" fontId="56" fillId="0" borderId="0" xfId="0" applyFont="1" applyAlignment="1">
      <alignment horizontal="left"/>
    </xf>
    <xf numFmtId="0" fontId="56" fillId="0" borderId="0" xfId="0" applyFont="1" applyAlignment="1">
      <alignment horizontal="center"/>
    </xf>
    <xf numFmtId="165" fontId="56" fillId="0" borderId="0" xfId="0" applyNumberFormat="1" applyFont="1" applyAlignment="1">
      <alignment horizontal="center"/>
    </xf>
    <xf numFmtId="0" fontId="7" fillId="0" borderId="0" xfId="0" applyFont="1" applyAlignment="1">
      <alignment horizontal="left" vertical="center"/>
    </xf>
    <xf numFmtId="165" fontId="26" fillId="0" borderId="0" xfId="0" applyNumberFormat="1" applyFont="1"/>
    <xf numFmtId="0" fontId="32" fillId="0" borderId="0" xfId="0" applyFont="1" applyAlignment="1">
      <alignment horizontal="left"/>
    </xf>
    <xf numFmtId="0" fontId="26" fillId="0" borderId="0" xfId="0" quotePrefix="1" applyFont="1"/>
    <xf numFmtId="165" fontId="26" fillId="0" borderId="1" xfId="0" applyNumberFormat="1" applyFont="1" applyBorder="1" applyAlignment="1">
      <alignment horizontal="right"/>
    </xf>
    <xf numFmtId="4" fontId="26" fillId="0" borderId="0" xfId="0" applyNumberFormat="1" applyFont="1" applyAlignment="1">
      <alignment horizontal="center"/>
    </xf>
    <xf numFmtId="169" fontId="26" fillId="0" borderId="0" xfId="0" applyNumberFormat="1" applyFont="1" applyAlignment="1">
      <alignment horizontal="center"/>
    </xf>
    <xf numFmtId="0" fontId="26" fillId="0" borderId="11" xfId="0" applyFont="1" applyBorder="1" applyAlignment="1">
      <alignment horizontal="center" vertical="center" wrapText="1"/>
    </xf>
    <xf numFmtId="0" fontId="22" fillId="0" borderId="0" xfId="0" applyFont="1" applyAlignment="1">
      <alignment horizontal="center" vertical="center" wrapText="1"/>
    </xf>
    <xf numFmtId="0" fontId="26" fillId="0" borderId="12" xfId="0" applyFont="1" applyBorder="1" applyAlignment="1">
      <alignment horizontal="right"/>
    </xf>
    <xf numFmtId="0" fontId="32" fillId="0" borderId="11" xfId="0" applyFont="1" applyBorder="1" applyAlignment="1">
      <alignment horizontal="center" vertical="center" wrapText="1"/>
    </xf>
    <xf numFmtId="4" fontId="26" fillId="0" borderId="0" xfId="0" applyNumberFormat="1" applyFont="1" applyAlignment="1">
      <alignment horizontal="center" vertical="center" wrapText="1"/>
    </xf>
    <xf numFmtId="181" fontId="26" fillId="0" borderId="1" xfId="0" applyNumberFormat="1" applyFont="1" applyBorder="1" applyAlignment="1">
      <alignment horizontal="right"/>
    </xf>
    <xf numFmtId="4" fontId="26" fillId="0" borderId="12" xfId="0" applyNumberFormat="1" applyFont="1" applyBorder="1" applyAlignment="1">
      <alignment horizontal="right"/>
    </xf>
    <xf numFmtId="173" fontId="26" fillId="0" borderId="1" xfId="1" applyNumberFormat="1" applyFont="1" applyBorder="1" applyAlignment="1">
      <alignment horizontal="right"/>
    </xf>
    <xf numFmtId="0" fontId="32" fillId="0" borderId="11" xfId="0" quotePrefix="1" applyFont="1" applyBorder="1" applyAlignment="1">
      <alignment horizontal="center" vertical="center" wrapText="1"/>
    </xf>
    <xf numFmtId="165" fontId="26" fillId="0" borderId="12" xfId="0" applyNumberFormat="1" applyFont="1" applyBorder="1" applyAlignment="1">
      <alignment horizontal="right"/>
    </xf>
    <xf numFmtId="165" fontId="26" fillId="0" borderId="0" xfId="0" applyNumberFormat="1" applyFont="1" applyAlignment="1">
      <alignment horizontal="center" vertical="center" wrapText="1"/>
    </xf>
    <xf numFmtId="0" fontId="32" fillId="0" borderId="6" xfId="0" applyFont="1" applyBorder="1" applyAlignment="1">
      <alignment horizontal="center" vertical="center" wrapText="1"/>
    </xf>
    <xf numFmtId="165" fontId="26" fillId="0" borderId="7" xfId="0" applyNumberFormat="1" applyFont="1" applyBorder="1" applyAlignment="1">
      <alignment horizontal="center" vertical="center" wrapText="1"/>
    </xf>
    <xf numFmtId="165" fontId="26" fillId="0" borderId="7" xfId="0" applyNumberFormat="1" applyFont="1" applyBorder="1" applyAlignment="1">
      <alignment horizontal="right"/>
    </xf>
    <xf numFmtId="165" fontId="26" fillId="0" borderId="8" xfId="0" applyNumberFormat="1" applyFont="1" applyBorder="1" applyAlignment="1">
      <alignment horizontal="right"/>
    </xf>
    <xf numFmtId="0" fontId="32" fillId="0" borderId="3" xfId="0" applyFont="1" applyBorder="1" applyAlignment="1">
      <alignment horizontal="center" vertical="center" wrapText="1"/>
    </xf>
    <xf numFmtId="165" fontId="26" fillId="0" borderId="4" xfId="0" applyNumberFormat="1" applyFont="1" applyBorder="1" applyAlignment="1">
      <alignment horizontal="center" vertical="center" wrapText="1"/>
    </xf>
    <xf numFmtId="165" fontId="26" fillId="0" borderId="4" xfId="0" applyNumberFormat="1" applyFont="1" applyBorder="1" applyAlignment="1">
      <alignment horizontal="right"/>
    </xf>
    <xf numFmtId="0" fontId="26" fillId="0" borderId="5" xfId="0" applyFont="1" applyBorder="1" applyAlignment="1">
      <alignment horizontal="right"/>
    </xf>
    <xf numFmtId="165" fontId="56" fillId="0" borderId="0" xfId="0" applyNumberFormat="1" applyFont="1" applyAlignment="1">
      <alignment horizontal="right"/>
    </xf>
    <xf numFmtId="176" fontId="56" fillId="0" borderId="12" xfId="0" applyNumberFormat="1" applyFont="1" applyBorder="1" applyAlignment="1">
      <alignment horizontal="right"/>
    </xf>
    <xf numFmtId="10" fontId="26" fillId="0" borderId="0" xfId="3" applyNumberFormat="1" applyFont="1" applyAlignment="1">
      <alignment horizontal="right"/>
    </xf>
    <xf numFmtId="165" fontId="26" fillId="0" borderId="9" xfId="0" applyNumberFormat="1" applyFont="1" applyBorder="1" applyAlignment="1">
      <alignment horizontal="right"/>
    </xf>
    <xf numFmtId="0" fontId="26" fillId="0" borderId="6" xfId="0"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right"/>
    </xf>
    <xf numFmtId="0" fontId="26" fillId="0" borderId="8" xfId="0" applyFont="1" applyBorder="1" applyAlignment="1">
      <alignment horizontal="right"/>
    </xf>
    <xf numFmtId="0" fontId="26" fillId="0" borderId="24" xfId="0" applyFont="1" applyBorder="1"/>
    <xf numFmtId="0" fontId="24" fillId="0" borderId="0" xfId="0" applyFont="1" applyAlignment="1">
      <alignment horizontal="center"/>
    </xf>
    <xf numFmtId="169" fontId="11" fillId="0" borderId="1" xfId="0" applyNumberFormat="1" applyFont="1" applyBorder="1" applyAlignment="1">
      <alignment horizontal="center" vertical="center" wrapText="1"/>
    </xf>
    <xf numFmtId="0" fontId="52" fillId="0" borderId="0" xfId="0" applyFont="1" applyAlignment="1">
      <alignment horizontal="center" vertical="center" wrapText="1"/>
    </xf>
    <xf numFmtId="170" fontId="12" fillId="0" borderId="9" xfId="1" applyNumberFormat="1" applyFont="1" applyBorder="1" applyAlignment="1">
      <alignment horizontal="right" vertical="center"/>
    </xf>
    <xf numFmtId="167" fontId="3" fillId="0" borderId="9" xfId="3" applyNumberFormat="1" applyFont="1" applyBorder="1" applyAlignment="1">
      <alignment horizontal="right" vertical="center"/>
    </xf>
    <xf numFmtId="165" fontId="33" fillId="2" borderId="0" xfId="0" applyNumberFormat="1" applyFont="1" applyFill="1" applyAlignment="1">
      <alignment horizontal="right"/>
    </xf>
    <xf numFmtId="166" fontId="3" fillId="0" borderId="9" xfId="3" applyNumberFormat="1" applyFont="1" applyFill="1" applyBorder="1" applyAlignment="1">
      <alignment horizontal="center" vertical="center"/>
    </xf>
    <xf numFmtId="166" fontId="3" fillId="0" borderId="1" xfId="3" applyNumberFormat="1" applyFont="1" applyFill="1" applyBorder="1" applyAlignment="1">
      <alignment horizontal="center" vertical="center"/>
    </xf>
    <xf numFmtId="10" fontId="3" fillId="0" borderId="9" xfId="3" applyNumberFormat="1" applyFont="1" applyBorder="1" applyAlignment="1">
      <alignment horizontal="right" vertical="center"/>
    </xf>
    <xf numFmtId="43" fontId="3" fillId="0" borderId="9" xfId="1" applyFont="1" applyBorder="1" applyAlignment="1">
      <alignment horizontal="right" vertical="center"/>
    </xf>
    <xf numFmtId="2" fontId="33" fillId="0" borderId="9" xfId="0" applyNumberFormat="1" applyFont="1" applyBorder="1" applyAlignment="1">
      <alignment horizontal="right" vertical="center"/>
    </xf>
    <xf numFmtId="9" fontId="3" fillId="0" borderId="1" xfId="3" applyFont="1" applyBorder="1" applyAlignment="1">
      <alignment horizontal="right" vertical="center"/>
    </xf>
    <xf numFmtId="2" fontId="33" fillId="0" borderId="1" xfId="0" applyNumberFormat="1" applyFont="1" applyBorder="1" applyAlignment="1">
      <alignment horizontal="center" vertical="center"/>
    </xf>
    <xf numFmtId="43" fontId="3" fillId="0" borderId="1" xfId="1" applyFont="1" applyBorder="1" applyAlignment="1">
      <alignment horizontal="right" vertical="center"/>
    </xf>
    <xf numFmtId="2" fontId="3" fillId="0" borderId="0" xfId="0" applyNumberFormat="1" applyFont="1" applyAlignment="1">
      <alignment horizontal="right"/>
    </xf>
    <xf numFmtId="2" fontId="39" fillId="0" borderId="1" xfId="0" applyNumberFormat="1" applyFont="1" applyBorder="1" applyAlignment="1">
      <alignment horizontal="right" vertical="center" wrapText="1"/>
    </xf>
    <xf numFmtId="2" fontId="39" fillId="0" borderId="0" xfId="0" applyNumberFormat="1" applyFont="1" applyAlignment="1">
      <alignment horizontal="right"/>
    </xf>
    <xf numFmtId="165" fontId="33" fillId="0" borderId="0" xfId="0" applyNumberFormat="1" applyFont="1" applyAlignment="1">
      <alignment horizontal="right"/>
    </xf>
    <xf numFmtId="0" fontId="34" fillId="0" borderId="0" xfId="0" applyFont="1" applyAlignment="1">
      <alignment horizontal="right"/>
    </xf>
    <xf numFmtId="43" fontId="39" fillId="0" borderId="0" xfId="1" quotePrefix="1" applyFont="1" applyBorder="1" applyAlignment="1">
      <alignment horizontal="right"/>
    </xf>
    <xf numFmtId="0" fontId="33" fillId="0" borderId="0" xfId="0" applyFont="1" applyAlignment="1">
      <alignment horizontal="right"/>
    </xf>
    <xf numFmtId="0" fontId="33" fillId="0" borderId="1" xfId="0" applyFont="1" applyBorder="1" applyAlignment="1">
      <alignment horizontal="right" vertical="center" wrapText="1"/>
    </xf>
    <xf numFmtId="165" fontId="0" fillId="0" borderId="0" xfId="0" applyNumberFormat="1" applyAlignment="1">
      <alignment horizontal="right"/>
    </xf>
    <xf numFmtId="0" fontId="40" fillId="0" borderId="1" xfId="0" applyFont="1" applyBorder="1" applyAlignment="1">
      <alignment horizontal="center" vertical="center" wrapText="1"/>
    </xf>
    <xf numFmtId="10" fontId="34" fillId="0" borderId="1" xfId="0" applyNumberFormat="1" applyFont="1" applyBorder="1" applyAlignment="1">
      <alignment horizontal="center" vertical="center" wrapText="1"/>
    </xf>
    <xf numFmtId="10" fontId="34" fillId="0" borderId="1" xfId="1" applyNumberFormat="1" applyFont="1" applyBorder="1" applyAlignment="1">
      <alignment horizontal="center" vertical="center" wrapText="1"/>
    </xf>
    <xf numFmtId="165" fontId="34" fillId="0" borderId="0" xfId="0" applyNumberFormat="1" applyFont="1" applyAlignment="1">
      <alignment horizontal="center" vertical="center" wrapText="1"/>
    </xf>
    <xf numFmtId="165" fontId="40" fillId="0" borderId="1" xfId="0" applyNumberFormat="1" applyFont="1" applyBorder="1" applyAlignment="1">
      <alignment horizontal="center" vertical="center" wrapText="1"/>
    </xf>
    <xf numFmtId="10" fontId="40" fillId="0" borderId="1" xfId="0" applyNumberFormat="1" applyFont="1" applyBorder="1" applyAlignment="1">
      <alignment horizontal="center" vertical="center" wrapText="1"/>
    </xf>
    <xf numFmtId="165" fontId="40" fillId="0" borderId="0" xfId="0" applyNumberFormat="1" applyFont="1" applyAlignment="1">
      <alignment horizontal="center" vertical="center" wrapText="1"/>
    </xf>
    <xf numFmtId="10" fontId="40" fillId="0" borderId="0" xfId="0" applyNumberFormat="1" applyFont="1" applyAlignment="1">
      <alignment horizontal="center" vertical="center" wrapText="1"/>
    </xf>
    <xf numFmtId="165" fontId="34" fillId="0" borderId="1" xfId="0" applyNumberFormat="1" applyFont="1" applyBorder="1" applyAlignment="1">
      <alignment horizontal="center" vertical="center" wrapText="1"/>
    </xf>
    <xf numFmtId="0" fontId="59" fillId="0" borderId="1" xfId="0" applyFont="1" applyBorder="1" applyAlignment="1">
      <alignment horizontal="center" vertical="center" wrapText="1"/>
    </xf>
    <xf numFmtId="0" fontId="26" fillId="0" borderId="1" xfId="0" applyFont="1" applyBorder="1" applyAlignment="1">
      <alignment horizontal="center" vertical="center"/>
    </xf>
    <xf numFmtId="165" fontId="26" fillId="0" borderId="1" xfId="0" applyNumberFormat="1" applyFont="1" applyBorder="1" applyAlignment="1">
      <alignment horizontal="center" vertical="center"/>
    </xf>
    <xf numFmtId="0" fontId="26" fillId="0" borderId="2" xfId="0" applyFont="1" applyBorder="1" applyAlignment="1">
      <alignment horizontal="center" vertical="center"/>
    </xf>
    <xf numFmtId="0" fontId="34" fillId="0" borderId="1" xfId="0" applyFont="1" applyBorder="1" applyAlignment="1">
      <alignment horizontal="center" vertical="center"/>
    </xf>
    <xf numFmtId="0" fontId="33" fillId="0" borderId="9" xfId="0" applyFont="1" applyBorder="1" applyAlignment="1">
      <alignment horizontal="center"/>
    </xf>
    <xf numFmtId="0" fontId="33" fillId="0" borderId="1" xfId="0" applyFont="1" applyBorder="1" applyAlignment="1">
      <alignment horizontal="center"/>
    </xf>
    <xf numFmtId="10" fontId="39" fillId="0" borderId="1" xfId="3" applyNumberFormat="1" applyFont="1" applyBorder="1" applyAlignment="1">
      <alignment horizontal="center" vertical="center"/>
    </xf>
    <xf numFmtId="43" fontId="39" fillId="0" borderId="1" xfId="1" quotePrefix="1" applyFont="1" applyBorder="1" applyAlignment="1">
      <alignment horizontal="center" vertical="center"/>
    </xf>
    <xf numFmtId="0" fontId="60" fillId="0" borderId="0" xfId="2" applyFont="1" applyAlignment="1">
      <alignment horizontal="right"/>
    </xf>
    <xf numFmtId="0" fontId="16" fillId="0" borderId="1" xfId="2" applyFont="1" applyBorder="1" applyAlignment="1">
      <alignment horizontal="left" vertical="center" wrapText="1"/>
    </xf>
    <xf numFmtId="0" fontId="16" fillId="0" borderId="0" xfId="2" applyFont="1" applyAlignment="1">
      <alignment horizontal="right"/>
    </xf>
    <xf numFmtId="0" fontId="16" fillId="0" borderId="1" xfId="2" applyFont="1" applyBorder="1" applyAlignment="1">
      <alignment horizontal="left"/>
    </xf>
    <xf numFmtId="3" fontId="16" fillId="0" borderId="0" xfId="2" applyNumberFormat="1" applyFont="1" applyAlignment="1">
      <alignment horizontal="right"/>
    </xf>
    <xf numFmtId="0" fontId="16" fillId="0" borderId="2" xfId="2" applyFont="1" applyBorder="1" applyAlignment="1">
      <alignment horizontal="left"/>
    </xf>
    <xf numFmtId="2" fontId="16" fillId="0" borderId="16" xfId="2" quotePrefix="1" applyNumberFormat="1" applyFont="1" applyBorder="1" applyAlignment="1">
      <alignment horizontal="center" vertical="center" wrapText="1"/>
    </xf>
    <xf numFmtId="0" fontId="16" fillId="0" borderId="1" xfId="0" applyFont="1" applyBorder="1" applyAlignment="1">
      <alignment horizontal="center"/>
    </xf>
    <xf numFmtId="0" fontId="16" fillId="0" borderId="1" xfId="2" applyFont="1" applyBorder="1" applyAlignment="1">
      <alignment horizontal="center"/>
    </xf>
    <xf numFmtId="0" fontId="16" fillId="0" borderId="1" xfId="2" applyFont="1" applyBorder="1"/>
    <xf numFmtId="0" fontId="16" fillId="0" borderId="11" xfId="2" applyFont="1" applyBorder="1" applyAlignment="1">
      <alignment horizontal="center" vertical="center" wrapText="1"/>
    </xf>
    <xf numFmtId="164" fontId="16" fillId="0" borderId="18" xfId="2" applyNumberFormat="1" applyFont="1" applyBorder="1" applyAlignment="1">
      <alignment horizontal="center" vertical="center" wrapText="1"/>
    </xf>
    <xf numFmtId="0" fontId="61" fillId="0" borderId="1" xfId="2" applyFont="1" applyBorder="1" applyAlignment="1">
      <alignment horizontal="center"/>
    </xf>
    <xf numFmtId="0" fontId="16" fillId="0" borderId="1" xfId="2" applyFont="1" applyBorder="1" applyAlignment="1">
      <alignment horizontal="center" vertical="center" wrapText="1"/>
    </xf>
    <xf numFmtId="14" fontId="16" fillId="0" borderId="0" xfId="0" applyNumberFormat="1" applyFont="1" applyAlignment="1">
      <alignment horizontal="right"/>
    </xf>
    <xf numFmtId="0" fontId="16" fillId="0" borderId="1" xfId="2" applyFont="1" applyBorder="1" applyAlignment="1">
      <alignment horizontal="right"/>
    </xf>
    <xf numFmtId="164" fontId="16" fillId="0" borderId="1" xfId="2" applyNumberFormat="1" applyFont="1" applyBorder="1" applyAlignment="1">
      <alignment horizontal="center" vertical="center" wrapText="1"/>
    </xf>
    <xf numFmtId="2" fontId="16" fillId="0" borderId="1" xfId="2" applyNumberFormat="1" applyFont="1" applyBorder="1" applyAlignment="1">
      <alignment horizontal="center" vertical="center" wrapText="1"/>
    </xf>
    <xf numFmtId="4" fontId="16" fillId="0" borderId="1" xfId="2" applyNumberFormat="1" applyFont="1" applyBorder="1" applyAlignment="1">
      <alignment horizontal="center" vertical="center" wrapText="1"/>
    </xf>
    <xf numFmtId="0" fontId="16" fillId="0" borderId="1" xfId="2" applyFont="1" applyBorder="1" applyAlignment="1">
      <alignment horizontal="right" vertical="center" wrapText="1"/>
    </xf>
    <xf numFmtId="0" fontId="62" fillId="0" borderId="1" xfId="2" applyFont="1" applyBorder="1" applyAlignment="1">
      <alignment horizontal="center" vertical="center" wrapText="1"/>
    </xf>
    <xf numFmtId="0" fontId="62" fillId="0" borderId="1" xfId="2" applyFont="1" applyBorder="1" applyAlignment="1">
      <alignment horizontal="center"/>
    </xf>
    <xf numFmtId="4" fontId="16" fillId="0" borderId="1" xfId="2" applyNumberFormat="1" applyFont="1" applyBorder="1"/>
    <xf numFmtId="4" fontId="16" fillId="0" borderId="2" xfId="2" applyNumberFormat="1" applyFont="1" applyBorder="1" applyAlignment="1">
      <alignment horizontal="center" vertical="center" wrapText="1"/>
    </xf>
    <xf numFmtId="4" fontId="31" fillId="0" borderId="1" xfId="0" applyNumberFormat="1" applyFont="1" applyBorder="1" applyAlignment="1">
      <alignment horizontal="center" vertical="center"/>
    </xf>
    <xf numFmtId="10" fontId="31" fillId="0" borderId="1" xfId="3" applyNumberFormat="1" applyFont="1" applyFill="1" applyBorder="1" applyAlignment="1">
      <alignment horizontal="center" vertical="center"/>
    </xf>
    <xf numFmtId="4" fontId="31" fillId="0" borderId="10" xfId="0" quotePrefix="1" applyNumberFormat="1" applyFont="1" applyBorder="1" applyAlignment="1">
      <alignment horizontal="center" vertical="center"/>
    </xf>
    <xf numFmtId="4" fontId="3" fillId="0" borderId="1" xfId="0" quotePrefix="1" applyNumberFormat="1" applyFont="1" applyBorder="1" applyAlignment="1">
      <alignment horizontal="center" vertical="center"/>
    </xf>
    <xf numFmtId="0" fontId="39" fillId="0" borderId="1" xfId="0" applyFont="1" applyBorder="1" applyAlignment="1">
      <alignment horizontal="center" vertical="center"/>
    </xf>
    <xf numFmtId="4" fontId="3" fillId="0" borderId="1" xfId="0" applyNumberFormat="1" applyFont="1" applyBorder="1" applyAlignment="1">
      <alignment horizontal="center" vertical="center"/>
    </xf>
    <xf numFmtId="4" fontId="31" fillId="0" borderId="1" xfId="0" applyNumberFormat="1" applyFont="1" applyBorder="1" applyAlignment="1">
      <alignment horizontal="center" vertical="center" wrapText="1"/>
    </xf>
    <xf numFmtId="4" fontId="64" fillId="0" borderId="1" xfId="0" applyNumberFormat="1" applyFont="1" applyBorder="1" applyAlignment="1">
      <alignment horizontal="center" vertical="center"/>
    </xf>
    <xf numFmtId="10" fontId="3" fillId="0" borderId="1" xfId="3" quotePrefix="1" applyNumberFormat="1" applyFont="1" applyFill="1" applyBorder="1" applyAlignment="1">
      <alignment horizontal="center" vertical="center"/>
    </xf>
    <xf numFmtId="4" fontId="31" fillId="0" borderId="1" xfId="0" quotePrefix="1" applyNumberFormat="1" applyFont="1" applyBorder="1" applyAlignment="1">
      <alignment horizontal="center" vertical="center"/>
    </xf>
    <xf numFmtId="10" fontId="3" fillId="0" borderId="1" xfId="3" applyNumberFormat="1" applyFont="1" applyFill="1" applyBorder="1" applyAlignment="1">
      <alignment horizontal="center" vertical="center"/>
    </xf>
    <xf numFmtId="165" fontId="39" fillId="0" borderId="1" xfId="0" applyNumberFormat="1" applyFont="1" applyBorder="1" applyAlignment="1">
      <alignment horizontal="center" vertical="center"/>
    </xf>
    <xf numFmtId="10" fontId="3" fillId="0" borderId="10" xfId="3" applyNumberFormat="1" applyFont="1" applyFill="1" applyBorder="1" applyAlignment="1">
      <alignment horizontal="center" vertical="center"/>
    </xf>
    <xf numFmtId="182" fontId="3" fillId="0" borderId="1" xfId="3" applyNumberFormat="1" applyFont="1" applyFill="1" applyBorder="1" applyAlignment="1">
      <alignment horizontal="center" vertical="center"/>
    </xf>
    <xf numFmtId="4" fontId="31" fillId="0" borderId="10" xfId="0" applyNumberFormat="1" applyFont="1" applyBorder="1" applyAlignment="1">
      <alignment horizontal="center" vertical="center"/>
    </xf>
    <xf numFmtId="0" fontId="39" fillId="0" borderId="2" xfId="0" applyFont="1" applyBorder="1" applyAlignment="1">
      <alignment horizontal="center" vertical="center"/>
    </xf>
    <xf numFmtId="165" fontId="39" fillId="0" borderId="2" xfId="0" applyNumberFormat="1" applyFont="1" applyBorder="1" applyAlignment="1">
      <alignment horizontal="center" vertical="center"/>
    </xf>
    <xf numFmtId="165" fontId="39" fillId="0" borderId="3" xfId="0" applyNumberFormat="1" applyFont="1" applyBorder="1" applyAlignment="1">
      <alignment horizontal="center" vertical="center"/>
    </xf>
    <xf numFmtId="10" fontId="31" fillId="0" borderId="1" xfId="3" applyNumberFormat="1" applyFont="1" applyBorder="1" applyAlignment="1">
      <alignment horizontal="center" vertical="center"/>
    </xf>
    <xf numFmtId="4" fontId="31" fillId="0" borderId="13" xfId="0" applyNumberFormat="1" applyFont="1" applyBorder="1" applyAlignment="1">
      <alignment horizontal="center" vertical="center"/>
    </xf>
    <xf numFmtId="4" fontId="31" fillId="0" borderId="6" xfId="0" applyNumberFormat="1" applyFont="1" applyBorder="1" applyAlignment="1">
      <alignment horizontal="center" vertical="center"/>
    </xf>
    <xf numFmtId="168" fontId="31" fillId="0" borderId="1" xfId="0" applyNumberFormat="1" applyFont="1" applyBorder="1" applyAlignment="1">
      <alignment horizontal="center" vertical="center"/>
    </xf>
    <xf numFmtId="165" fontId="39" fillId="0" borderId="0" xfId="0" applyNumberFormat="1" applyFont="1" applyAlignment="1">
      <alignment horizontal="center" vertical="center"/>
    </xf>
    <xf numFmtId="4" fontId="39" fillId="0" borderId="1" xfId="0" applyNumberFormat="1" applyFont="1" applyBorder="1" applyAlignment="1">
      <alignment horizontal="center" vertical="center"/>
    </xf>
    <xf numFmtId="4" fontId="51" fillId="0" borderId="10" xfId="0" applyNumberFormat="1" applyFont="1" applyBorder="1" applyAlignment="1">
      <alignment horizontal="center" vertical="center"/>
    </xf>
    <xf numFmtId="4" fontId="51" fillId="0" borderId="1" xfId="0" applyNumberFormat="1" applyFont="1" applyBorder="1" applyAlignment="1">
      <alignment horizontal="center" vertical="center"/>
    </xf>
    <xf numFmtId="4" fontId="58" fillId="0" borderId="1" xfId="0" applyNumberFormat="1" applyFont="1" applyBorder="1" applyAlignment="1">
      <alignment horizontal="center" vertical="center"/>
    </xf>
    <xf numFmtId="0" fontId="42" fillId="0" borderId="13" xfId="0" applyFont="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xf>
    <xf numFmtId="0" fontId="41" fillId="0" borderId="0" xfId="0" applyFont="1" applyAlignment="1">
      <alignment horizontal="center"/>
    </xf>
    <xf numFmtId="0" fontId="42" fillId="0" borderId="1" xfId="0" applyFont="1" applyBorder="1" applyAlignment="1">
      <alignment horizontal="left" vertical="center"/>
    </xf>
    <xf numFmtId="0" fontId="66" fillId="0" borderId="1" xfId="0" applyFont="1" applyBorder="1" applyAlignment="1">
      <alignment horizontal="left" vertical="center" wrapText="1"/>
    </xf>
    <xf numFmtId="0" fontId="42" fillId="0" borderId="1" xfId="0" applyFont="1" applyBorder="1" applyAlignment="1">
      <alignment horizontal="left" vertical="center" wrapText="1"/>
    </xf>
    <xf numFmtId="4" fontId="41" fillId="0" borderId="1" xfId="0" applyNumberFormat="1" applyFont="1" applyBorder="1" applyAlignment="1">
      <alignment horizontal="center" vertical="center" wrapText="1"/>
    </xf>
    <xf numFmtId="0" fontId="31" fillId="0" borderId="1" xfId="0" applyFont="1" applyBorder="1" applyAlignment="1">
      <alignment horizontal="center" vertical="center" wrapText="1"/>
    </xf>
    <xf numFmtId="165" fontId="31" fillId="0" borderId="1" xfId="0" applyNumberFormat="1" applyFont="1" applyBorder="1" applyAlignment="1">
      <alignment horizontal="center" vertical="center" wrapText="1"/>
    </xf>
    <xf numFmtId="14" fontId="17" fillId="0" borderId="1" xfId="2" applyNumberFormat="1" applyFont="1" applyBorder="1" applyAlignment="1">
      <alignment horizontal="center"/>
    </xf>
    <xf numFmtId="0" fontId="33" fillId="0" borderId="13" xfId="0" applyFont="1" applyBorder="1" applyAlignment="1">
      <alignment horizontal="center"/>
    </xf>
    <xf numFmtId="0" fontId="33" fillId="0" borderId="8" xfId="0" applyFont="1" applyBorder="1" applyAlignment="1">
      <alignment horizontal="center"/>
    </xf>
    <xf numFmtId="43" fontId="33" fillId="2" borderId="1" xfId="1" applyFont="1" applyFill="1" applyBorder="1" applyAlignment="1">
      <alignment horizontal="center"/>
    </xf>
    <xf numFmtId="2" fontId="33" fillId="2" borderId="1" xfId="0" applyNumberFormat="1" applyFont="1" applyFill="1" applyBorder="1" applyAlignment="1">
      <alignment horizontal="center"/>
    </xf>
    <xf numFmtId="14" fontId="39" fillId="0" borderId="1" xfId="0" applyNumberFormat="1" applyFont="1" applyBorder="1" applyAlignment="1">
      <alignment horizontal="center" vertical="center" wrapText="1"/>
    </xf>
    <xf numFmtId="0" fontId="33" fillId="0" borderId="8" xfId="0" applyFont="1" applyBorder="1" applyAlignment="1">
      <alignment horizontal="center" vertical="center" wrapText="1"/>
    </xf>
    <xf numFmtId="165" fontId="30" fillId="0" borderId="13" xfId="0" applyNumberFormat="1" applyFont="1" applyBorder="1" applyAlignment="1">
      <alignment horizontal="center" vertical="center" wrapText="1"/>
    </xf>
    <xf numFmtId="0" fontId="30" fillId="0" borderId="13" xfId="0" applyFont="1" applyBorder="1" applyAlignment="1">
      <alignment horizontal="center" vertical="center" wrapText="1"/>
    </xf>
    <xf numFmtId="0" fontId="42" fillId="0" borderId="0" xfId="0" applyFont="1" applyAlignment="1">
      <alignment horizontal="center" vertical="center" wrapText="1"/>
    </xf>
    <xf numFmtId="0" fontId="42" fillId="0" borderId="0" xfId="0" applyFont="1" applyAlignment="1">
      <alignment horizontal="right"/>
    </xf>
    <xf numFmtId="0" fontId="42" fillId="0" borderId="1" xfId="0" applyFont="1" applyBorder="1" applyAlignment="1">
      <alignment vertical="center"/>
    </xf>
    <xf numFmtId="0" fontId="66" fillId="0" borderId="1" xfId="0" applyFont="1" applyBorder="1" applyAlignment="1">
      <alignment vertical="center" wrapText="1"/>
    </xf>
    <xf numFmtId="0" fontId="42" fillId="0" borderId="1" xfId="0" applyFont="1" applyBorder="1" applyAlignment="1">
      <alignment vertical="center" wrapText="1"/>
    </xf>
    <xf numFmtId="166" fontId="46" fillId="0" borderId="1" xfId="3" applyNumberFormat="1" applyFont="1" applyBorder="1" applyAlignment="1">
      <alignment vertical="center" wrapText="1"/>
    </xf>
    <xf numFmtId="0" fontId="33" fillId="0" borderId="1" xfId="0" applyFont="1" applyBorder="1"/>
    <xf numFmtId="43" fontId="49" fillId="0" borderId="1" xfId="1" applyFont="1" applyBorder="1" applyAlignment="1">
      <alignment horizontal="center" vertical="center" wrapText="1"/>
    </xf>
    <xf numFmtId="4" fontId="50" fillId="0" borderId="1" xfId="0" applyNumberFormat="1" applyFont="1" applyBorder="1" applyAlignment="1">
      <alignment horizontal="center" vertical="center" wrapText="1"/>
    </xf>
    <xf numFmtId="4" fontId="49" fillId="2" borderId="1" xfId="0" applyNumberFormat="1" applyFont="1" applyFill="1" applyBorder="1" applyAlignment="1">
      <alignment horizontal="center" vertical="center" wrapText="1"/>
    </xf>
    <xf numFmtId="4" fontId="50" fillId="0" borderId="10" xfId="0" applyNumberFormat="1" applyFont="1" applyBorder="1" applyAlignment="1">
      <alignment horizontal="center" vertical="center" wrapText="1"/>
    </xf>
    <xf numFmtId="0" fontId="36" fillId="0" borderId="1" xfId="0" applyFont="1" applyBorder="1" applyAlignment="1">
      <alignment horizontal="center"/>
    </xf>
    <xf numFmtId="0" fontId="69" fillId="0" borderId="0" xfId="0" applyFont="1"/>
    <xf numFmtId="0" fontId="28" fillId="0" borderId="3" xfId="0" applyFont="1" applyBorder="1"/>
    <xf numFmtId="0" fontId="28" fillId="0" borderId="11" xfId="0" applyFont="1" applyBorder="1"/>
    <xf numFmtId="0" fontId="28" fillId="0" borderId="6" xfId="0" applyFont="1" applyBorder="1"/>
    <xf numFmtId="0" fontId="28" fillId="0" borderId="3" xfId="0" applyFont="1" applyBorder="1" applyAlignment="1">
      <alignment horizontal="center"/>
    </xf>
    <xf numFmtId="0" fontId="28" fillId="0" borderId="4" xfId="0" applyFont="1" applyBorder="1" applyAlignment="1">
      <alignment horizontal="center"/>
    </xf>
    <xf numFmtId="0" fontId="36" fillId="0" borderId="1" xfId="0" applyFont="1" applyBorder="1" applyAlignment="1">
      <alignment horizontal="center" vertical="center"/>
    </xf>
    <xf numFmtId="0" fontId="28" fillId="0" borderId="1" xfId="0" applyFont="1" applyBorder="1" applyAlignment="1">
      <alignment horizontal="center" vertical="center" wrapText="1"/>
    </xf>
    <xf numFmtId="10" fontId="28" fillId="0" borderId="1" xfId="0" applyNumberFormat="1" applyFont="1" applyBorder="1" applyAlignment="1">
      <alignment horizontal="center" vertical="center"/>
    </xf>
    <xf numFmtId="0" fontId="28" fillId="0" borderId="0" xfId="0" applyFont="1" applyAlignment="1">
      <alignment horizontal="center"/>
    </xf>
    <xf numFmtId="0" fontId="28" fillId="0" borderId="0" xfId="0" quotePrefix="1" applyFont="1" applyAlignment="1">
      <alignment horizontal="center"/>
    </xf>
    <xf numFmtId="10" fontId="28" fillId="0" borderId="0" xfId="0" applyNumberFormat="1" applyFont="1" applyAlignment="1">
      <alignment horizontal="center" vertical="center"/>
    </xf>
    <xf numFmtId="9" fontId="28" fillId="0" borderId="0" xfId="0" applyNumberFormat="1" applyFont="1" applyAlignment="1">
      <alignment horizontal="center"/>
    </xf>
    <xf numFmtId="0" fontId="28" fillId="0" borderId="5" xfId="0" applyFont="1" applyBorder="1"/>
    <xf numFmtId="0" fontId="28" fillId="0" borderId="12" xfId="0" applyFont="1" applyBorder="1"/>
    <xf numFmtId="0" fontId="28" fillId="0" borderId="8" xfId="0" applyFont="1" applyBorder="1"/>
    <xf numFmtId="14" fontId="34" fillId="0" borderId="0" xfId="0" applyNumberFormat="1" applyFont="1" applyAlignment="1">
      <alignment horizontal="center" vertical="center" wrapText="1"/>
    </xf>
    <xf numFmtId="43" fontId="34" fillId="0" borderId="0" xfId="1" applyFont="1" applyBorder="1" applyAlignment="1">
      <alignment horizontal="center" vertical="center" wrapText="1"/>
    </xf>
    <xf numFmtId="43" fontId="34" fillId="0" borderId="0" xfId="1" applyFont="1" applyBorder="1" applyAlignment="1">
      <alignment horizontal="left" vertical="center" wrapText="1"/>
    </xf>
    <xf numFmtId="2" fontId="34" fillId="0" borderId="0" xfId="0" applyNumberFormat="1" applyFont="1" applyAlignment="1">
      <alignment horizontal="right" vertical="center" wrapText="1"/>
    </xf>
    <xf numFmtId="2" fontId="34" fillId="0" borderId="1" xfId="0" applyNumberFormat="1" applyFont="1" applyBorder="1" applyAlignment="1">
      <alignment horizontal="center" vertical="center" wrapText="1"/>
    </xf>
    <xf numFmtId="4" fontId="70" fillId="0" borderId="1" xfId="0" applyNumberFormat="1" applyFont="1" applyBorder="1" applyAlignment="1">
      <alignment horizontal="center" vertical="center"/>
    </xf>
    <xf numFmtId="10" fontId="70" fillId="0" borderId="1" xfId="3" applyNumberFormat="1" applyFont="1" applyFill="1" applyBorder="1" applyAlignment="1">
      <alignment horizontal="center" vertical="center"/>
    </xf>
    <xf numFmtId="4" fontId="28" fillId="0" borderId="0" xfId="0" applyNumberFormat="1" applyFont="1"/>
    <xf numFmtId="4" fontId="28" fillId="0" borderId="1" xfId="0" applyNumberFormat="1" applyFont="1" applyBorder="1" applyAlignment="1">
      <alignment horizontal="center" vertical="center"/>
    </xf>
    <xf numFmtId="168" fontId="70" fillId="0" borderId="1" xfId="0" applyNumberFormat="1" applyFont="1" applyBorder="1" applyAlignment="1">
      <alignment horizontal="center" vertical="center"/>
    </xf>
    <xf numFmtId="165" fontId="28" fillId="0" borderId="1" xfId="0" applyNumberFormat="1" applyFont="1" applyBorder="1" applyAlignment="1">
      <alignment horizontal="center" vertical="center"/>
    </xf>
    <xf numFmtId="165" fontId="70" fillId="0" borderId="1" xfId="0" applyNumberFormat="1" applyFont="1" applyBorder="1" applyAlignment="1">
      <alignment horizontal="center" vertical="center"/>
    </xf>
    <xf numFmtId="0" fontId="28" fillId="0" borderId="0" xfId="0" applyFont="1" applyAlignment="1">
      <alignment horizontal="center" vertical="center" wrapText="1"/>
    </xf>
    <xf numFmtId="0" fontId="10" fillId="0" borderId="0" xfId="0" applyFont="1" applyAlignment="1">
      <alignment horizontal="center" vertical="center" wrapText="1"/>
    </xf>
    <xf numFmtId="4" fontId="70" fillId="0" borderId="0" xfId="0" applyNumberFormat="1" applyFont="1" applyAlignment="1">
      <alignment horizontal="center" vertical="center"/>
    </xf>
    <xf numFmtId="168" fontId="70" fillId="0" borderId="0" xfId="0" applyNumberFormat="1" applyFont="1" applyAlignment="1">
      <alignment horizontal="center" vertical="center"/>
    </xf>
    <xf numFmtId="165" fontId="28" fillId="0" borderId="0" xfId="0" applyNumberFormat="1" applyFont="1" applyAlignment="1">
      <alignment horizontal="center" vertical="center"/>
    </xf>
    <xf numFmtId="165" fontId="70" fillId="0" borderId="0" xfId="0" applyNumberFormat="1" applyFont="1" applyAlignment="1">
      <alignment horizontal="center" vertical="center"/>
    </xf>
    <xf numFmtId="4" fontId="28" fillId="0" borderId="0" xfId="0" applyNumberFormat="1" applyFont="1" applyAlignment="1">
      <alignment horizontal="center" vertical="center"/>
    </xf>
    <xf numFmtId="0" fontId="72" fillId="0" borderId="0" xfId="0" applyFont="1"/>
    <xf numFmtId="0" fontId="28" fillId="0" borderId="0" xfId="0" applyFont="1" applyAlignment="1">
      <alignment horizontal="left"/>
    </xf>
    <xf numFmtId="2" fontId="39" fillId="0" borderId="2" xfId="0" applyNumberFormat="1" applyFont="1" applyBorder="1" applyAlignment="1">
      <alignment horizontal="center" vertical="center"/>
    </xf>
    <xf numFmtId="2" fontId="16" fillId="0" borderId="1" xfId="2" applyNumberFormat="1" applyFont="1" applyBorder="1" applyAlignment="1">
      <alignment horizontal="center"/>
    </xf>
    <xf numFmtId="0" fontId="28" fillId="0" borderId="4" xfId="0" applyFont="1" applyBorder="1"/>
    <xf numFmtId="0" fontId="28" fillId="0" borderId="7" xfId="0" applyFont="1" applyBorder="1"/>
    <xf numFmtId="4" fontId="67" fillId="0" borderId="1" xfId="0" applyNumberFormat="1" applyFont="1" applyBorder="1" applyAlignment="1">
      <alignment horizontal="right"/>
    </xf>
    <xf numFmtId="10" fontId="34" fillId="0" borderId="1" xfId="3" applyNumberFormat="1" applyFont="1" applyBorder="1" applyAlignment="1">
      <alignment horizontal="center" vertical="center"/>
    </xf>
    <xf numFmtId="10" fontId="45" fillId="0" borderId="1" xfId="1" applyNumberFormat="1" applyFont="1" applyBorder="1" applyAlignment="1">
      <alignment horizontal="center" vertical="center" wrapText="1"/>
    </xf>
    <xf numFmtId="164" fontId="33" fillId="0" borderId="2" xfId="0" applyNumberFormat="1" applyFont="1" applyBorder="1" applyAlignment="1">
      <alignment horizontal="center" vertical="center" wrapText="1"/>
    </xf>
    <xf numFmtId="174" fontId="16" fillId="0" borderId="2" xfId="1" applyNumberFormat="1" applyFont="1" applyBorder="1" applyAlignment="1">
      <alignment horizontal="center" vertical="center" wrapText="1"/>
    </xf>
    <xf numFmtId="0" fontId="46" fillId="0" borderId="14" xfId="0" applyFont="1" applyBorder="1" applyAlignment="1">
      <alignment horizontal="center" vertical="center" wrapText="1"/>
    </xf>
    <xf numFmtId="0" fontId="46" fillId="0" borderId="13" xfId="0" applyFont="1" applyBorder="1" applyAlignment="1">
      <alignment horizontal="center" vertical="center" wrapText="1"/>
    </xf>
    <xf numFmtId="164" fontId="33" fillId="0" borderId="0" xfId="0" applyNumberFormat="1" applyFont="1" applyAlignment="1">
      <alignment horizontal="center" vertical="center" wrapText="1"/>
    </xf>
    <xf numFmtId="183" fontId="17" fillId="0" borderId="12" xfId="1" applyNumberFormat="1" applyFont="1" applyFill="1" applyBorder="1" applyAlignment="1">
      <alignment horizontal="center" vertical="center"/>
    </xf>
    <xf numFmtId="174" fontId="16" fillId="0" borderId="4" xfId="1" applyNumberFormat="1" applyFont="1" applyBorder="1" applyAlignment="1">
      <alignment horizontal="center" vertical="center" wrapText="1"/>
    </xf>
    <xf numFmtId="0" fontId="0" fillId="0" borderId="11" xfId="0" applyBorder="1"/>
    <xf numFmtId="43" fontId="25" fillId="0" borderId="0" xfId="1" applyFont="1" applyBorder="1" applyAlignment="1">
      <alignment horizontal="center"/>
    </xf>
    <xf numFmtId="0" fontId="0" fillId="0" borderId="7" xfId="0" applyBorder="1" applyAlignment="1">
      <alignment horizontal="center"/>
    </xf>
    <xf numFmtId="177" fontId="0" fillId="0" borderId="7" xfId="0" applyNumberFormat="1" applyBorder="1"/>
    <xf numFmtId="3" fontId="41" fillId="0" borderId="1" xfId="0" applyNumberFormat="1" applyFont="1" applyBorder="1" applyAlignment="1">
      <alignment horizontal="center"/>
    </xf>
    <xf numFmtId="0" fontId="33" fillId="0" borderId="1" xfId="0" applyFont="1" applyBorder="1" applyAlignment="1">
      <alignment horizontal="center" vertical="center"/>
    </xf>
    <xf numFmtId="4" fontId="41" fillId="0" borderId="1" xfId="0" quotePrefix="1" applyNumberFormat="1" applyFont="1" applyBorder="1" applyAlignment="1">
      <alignment horizontal="center"/>
    </xf>
    <xf numFmtId="164" fontId="33" fillId="0" borderId="1" xfId="0" applyNumberFormat="1" applyFont="1" applyBorder="1" applyAlignment="1">
      <alignment horizontal="center"/>
    </xf>
    <xf numFmtId="10" fontId="33" fillId="0" borderId="0" xfId="3" applyNumberFormat="1" applyFont="1" applyBorder="1"/>
    <xf numFmtId="43" fontId="33" fillId="0" borderId="0" xfId="1" applyFont="1" applyBorder="1"/>
    <xf numFmtId="171" fontId="33" fillId="0" borderId="0" xfId="1" applyNumberFormat="1" applyFont="1" applyBorder="1"/>
    <xf numFmtId="43" fontId="33" fillId="0" borderId="0" xfId="0" applyNumberFormat="1" applyFont="1"/>
    <xf numFmtId="4" fontId="33" fillId="0" borderId="0" xfId="0" applyNumberFormat="1" applyFont="1"/>
    <xf numFmtId="43" fontId="18" fillId="0" borderId="1" xfId="1" quotePrefix="1" applyFont="1" applyBorder="1"/>
    <xf numFmtId="0" fontId="18" fillId="0" borderId="1" xfId="0" quotePrefix="1" applyFont="1" applyBorder="1"/>
    <xf numFmtId="43" fontId="33" fillId="0" borderId="1" xfId="1" applyFont="1" applyBorder="1" applyAlignment="1">
      <alignment horizontal="center"/>
    </xf>
    <xf numFmtId="43" fontId="33" fillId="0" borderId="1" xfId="0" applyNumberFormat="1" applyFont="1" applyBorder="1" applyAlignment="1">
      <alignment horizontal="center"/>
    </xf>
    <xf numFmtId="43" fontId="16" fillId="0" borderId="1" xfId="2" applyNumberFormat="1" applyFont="1" applyBorder="1" applyAlignment="1">
      <alignment horizontal="center" vertical="center" wrapText="1"/>
    </xf>
    <xf numFmtId="4" fontId="67" fillId="0" borderId="1" xfId="2" applyNumberFormat="1" applyFont="1" applyBorder="1" applyAlignment="1">
      <alignment horizontal="center" vertical="center" wrapText="1"/>
    </xf>
    <xf numFmtId="43" fontId="33" fillId="0" borderId="1" xfId="0" applyNumberFormat="1" applyFont="1" applyBorder="1"/>
    <xf numFmtId="0" fontId="28" fillId="2" borderId="1" xfId="0" applyFont="1" applyFill="1" applyBorder="1" applyAlignment="1">
      <alignment horizontal="center"/>
    </xf>
    <xf numFmtId="14" fontId="34" fillId="2" borderId="1" xfId="0" applyNumberFormat="1" applyFont="1" applyFill="1" applyBorder="1" applyAlignment="1">
      <alignment horizontal="center" vertical="center" wrapText="1"/>
    </xf>
    <xf numFmtId="43" fontId="28" fillId="2" borderId="1" xfId="1" applyFont="1" applyFill="1" applyBorder="1"/>
    <xf numFmtId="43" fontId="28" fillId="2" borderId="1" xfId="1" applyFont="1" applyFill="1" applyBorder="1" applyAlignment="1">
      <alignment horizontal="left"/>
    </xf>
    <xf numFmtId="10" fontId="28" fillId="2" borderId="1" xfId="0" applyNumberFormat="1" applyFont="1" applyFill="1" applyBorder="1" applyAlignment="1">
      <alignment horizontal="center" vertical="center"/>
    </xf>
    <xf numFmtId="43" fontId="39" fillId="0" borderId="2" xfId="0" applyNumberFormat="1" applyFont="1" applyBorder="1" applyAlignment="1">
      <alignment horizontal="center" vertical="center"/>
    </xf>
    <xf numFmtId="4" fontId="33" fillId="0" borderId="0" xfId="0" quotePrefix="1" applyNumberFormat="1" applyFont="1"/>
    <xf numFmtId="4" fontId="33" fillId="0" borderId="1" xfId="0" applyNumberFormat="1" applyFont="1" applyBorder="1"/>
    <xf numFmtId="2" fontId="33" fillId="0" borderId="1" xfId="0" applyNumberFormat="1" applyFont="1" applyBorder="1"/>
    <xf numFmtId="4" fontId="27" fillId="0" borderId="1" xfId="0" quotePrefix="1" applyNumberFormat="1" applyFont="1" applyBorder="1" applyAlignment="1">
      <alignment horizontal="center" vertical="center" wrapText="1"/>
    </xf>
    <xf numFmtId="4" fontId="27" fillId="0" borderId="0" xfId="0" quotePrefix="1" applyNumberFormat="1" applyFont="1" applyAlignment="1">
      <alignment horizontal="center" vertical="center" wrapText="1"/>
    </xf>
    <xf numFmtId="0" fontId="27" fillId="0" borderId="0" xfId="0" applyFont="1" applyAlignment="1">
      <alignment horizontal="center" vertical="center" wrapText="1"/>
    </xf>
    <xf numFmtId="0" fontId="35" fillId="0" borderId="0" xfId="0" applyFont="1" applyAlignment="1">
      <alignment horizontal="center" vertical="center" wrapText="1"/>
    </xf>
    <xf numFmtId="0" fontId="41" fillId="0" borderId="1" xfId="0" applyFont="1" applyBorder="1"/>
    <xf numFmtId="43" fontId="33" fillId="2" borderId="1" xfId="0" applyNumberFormat="1" applyFont="1" applyFill="1" applyBorder="1"/>
    <xf numFmtId="0" fontId="0" fillId="2" borderId="1" xfId="0" applyFill="1" applyBorder="1"/>
    <xf numFmtId="4" fontId="0" fillId="2" borderId="1" xfId="0" applyNumberFormat="1" applyFill="1" applyBorder="1"/>
    <xf numFmtId="43" fontId="0" fillId="2" borderId="1" xfId="0" applyNumberFormat="1" applyFill="1" applyBorder="1"/>
    <xf numFmtId="4" fontId="33" fillId="2" borderId="1" xfId="0" applyNumberFormat="1" applyFont="1" applyFill="1" applyBorder="1"/>
    <xf numFmtId="4" fontId="0" fillId="0" borderId="1" xfId="0" applyNumberFormat="1" applyBorder="1"/>
    <xf numFmtId="4" fontId="33" fillId="2" borderId="2" xfId="0" applyNumberFormat="1" applyFont="1" applyFill="1" applyBorder="1"/>
    <xf numFmtId="2" fontId="33" fillId="2" borderId="1" xfId="0" applyNumberFormat="1" applyFont="1" applyFill="1" applyBorder="1"/>
    <xf numFmtId="0" fontId="39" fillId="0" borderId="0" xfId="0" applyFont="1" applyAlignment="1">
      <alignment horizontal="center" vertical="center" wrapText="1"/>
    </xf>
    <xf numFmtId="2" fontId="16" fillId="0" borderId="21" xfId="2" quotePrefix="1" applyNumberFormat="1" applyFont="1" applyBorder="1" applyAlignment="1">
      <alignment horizontal="center" vertical="center" wrapText="1"/>
    </xf>
    <xf numFmtId="0" fontId="3" fillId="0" borderId="10" xfId="0" applyFont="1" applyBorder="1" applyAlignment="1">
      <alignment vertical="center"/>
    </xf>
    <xf numFmtId="0" fontId="3" fillId="0" borderId="9" xfId="0" applyFont="1" applyBorder="1" applyAlignment="1">
      <alignment vertical="center"/>
    </xf>
    <xf numFmtId="43" fontId="34" fillId="0" borderId="1" xfId="1" applyFont="1" applyBorder="1" applyAlignment="1">
      <alignment horizontal="center" vertical="center"/>
    </xf>
    <xf numFmtId="9" fontId="34" fillId="0" borderId="1" xfId="3" applyFont="1" applyBorder="1" applyAlignment="1">
      <alignment horizontal="center" vertical="center"/>
    </xf>
    <xf numFmtId="10" fontId="75" fillId="0" borderId="9" xfId="3" applyNumberFormat="1" applyFont="1" applyBorder="1" applyAlignment="1">
      <alignment horizontal="center" vertical="center"/>
    </xf>
    <xf numFmtId="43" fontId="76" fillId="0" borderId="1" xfId="1" applyFont="1" applyBorder="1" applyAlignment="1">
      <alignment horizontal="center" vertical="center"/>
    </xf>
    <xf numFmtId="43" fontId="75" fillId="0" borderId="1" xfId="1" applyFont="1" applyBorder="1" applyAlignment="1">
      <alignment horizontal="center" vertical="center"/>
    </xf>
    <xf numFmtId="0" fontId="74" fillId="0" borderId="0" xfId="0" applyFont="1"/>
    <xf numFmtId="171" fontId="76" fillId="0" borderId="9" xfId="1" applyNumberFormat="1" applyFont="1" applyBorder="1" applyAlignment="1">
      <alignment horizontal="right" vertical="center" wrapText="1"/>
    </xf>
    <xf numFmtId="171" fontId="76" fillId="0" borderId="1" xfId="1" applyNumberFormat="1" applyFont="1" applyBorder="1" applyAlignment="1">
      <alignment horizontal="right" vertical="center" wrapText="1"/>
    </xf>
    <xf numFmtId="43" fontId="76" fillId="0" borderId="1" xfId="1" applyFont="1" applyBorder="1" applyAlignment="1">
      <alignment horizontal="right" vertical="center"/>
    </xf>
    <xf numFmtId="10" fontId="33" fillId="0" borderId="1" xfId="3" applyNumberFormat="1" applyFont="1" applyBorder="1" applyAlignment="1">
      <alignment horizontal="right" vertical="center" wrapText="1"/>
    </xf>
    <xf numFmtId="0" fontId="33" fillId="0" borderId="0" xfId="0" applyFont="1" applyAlignment="1">
      <alignment horizontal="right" vertical="center" wrapText="1"/>
    </xf>
    <xf numFmtId="0" fontId="50" fillId="0" borderId="0" xfId="0" applyFont="1"/>
    <xf numFmtId="0" fontId="28" fillId="0" borderId="1" xfId="0" applyFont="1" applyBorder="1" applyAlignment="1">
      <alignment horizontal="center" vertical="center"/>
    </xf>
    <xf numFmtId="9" fontId="28" fillId="2" borderId="1" xfId="0" applyNumberFormat="1" applyFont="1" applyFill="1" applyBorder="1" applyAlignment="1">
      <alignment horizontal="center" vertical="center"/>
    </xf>
    <xf numFmtId="0" fontId="28" fillId="2" borderId="1" xfId="0" applyFont="1" applyFill="1" applyBorder="1" applyAlignment="1">
      <alignment horizontal="center" vertical="center"/>
    </xf>
    <xf numFmtId="0" fontId="28" fillId="2" borderId="1" xfId="0" applyFont="1" applyFill="1" applyBorder="1"/>
    <xf numFmtId="0" fontId="28" fillId="2" borderId="1" xfId="0" applyFont="1" applyFill="1" applyBorder="1" applyAlignment="1">
      <alignment horizontal="center" vertical="center" wrapText="1"/>
    </xf>
    <xf numFmtId="0" fontId="80" fillId="0" borderId="0" xfId="0" applyFont="1"/>
    <xf numFmtId="0" fontId="81" fillId="0" borderId="0" xfId="0" applyFont="1"/>
    <xf numFmtId="4" fontId="80" fillId="0" borderId="0" xfId="0" applyNumberFormat="1" applyFont="1"/>
    <xf numFmtId="0" fontId="49" fillId="0" borderId="0" xfId="0" applyFont="1"/>
    <xf numFmtId="0" fontId="82" fillId="0" borderId="0" xfId="0" applyFont="1"/>
    <xf numFmtId="0" fontId="0" fillId="0" borderId="0" xfId="0" applyAlignment="1">
      <alignment horizontal="left"/>
    </xf>
    <xf numFmtId="0" fontId="26" fillId="0" borderId="0" xfId="0" applyFont="1" applyAlignment="1">
      <alignment horizontal="left"/>
    </xf>
    <xf numFmtId="14" fontId="33" fillId="0" borderId="1" xfId="0" applyNumberFormat="1" applyFont="1" applyBorder="1" applyAlignment="1">
      <alignment horizontal="center"/>
    </xf>
    <xf numFmtId="0" fontId="33" fillId="0" borderId="0" xfId="0" applyFont="1" applyProtection="1">
      <protection locked="0"/>
    </xf>
    <xf numFmtId="2" fontId="0" fillId="0" borderId="0" xfId="0" applyNumberFormat="1"/>
    <xf numFmtId="0" fontId="77" fillId="10" borderId="0" xfId="0" quotePrefix="1" applyFont="1" applyFill="1"/>
    <xf numFmtId="10" fontId="3" fillId="0" borderId="10" xfId="3" quotePrefix="1" applyNumberFormat="1" applyFont="1" applyFill="1" applyBorder="1" applyAlignment="1">
      <alignment horizontal="center" vertical="center"/>
    </xf>
    <xf numFmtId="0" fontId="34" fillId="0" borderId="1" xfId="0" applyFont="1" applyBorder="1" applyAlignment="1">
      <alignment vertical="center" wrapText="1"/>
    </xf>
    <xf numFmtId="0" fontId="34" fillId="0" borderId="0" xfId="0" applyFont="1" applyAlignment="1">
      <alignment vertical="center" wrapText="1"/>
    </xf>
    <xf numFmtId="0" fontId="40" fillId="0" borderId="0" xfId="0" applyFont="1" applyAlignment="1">
      <alignment vertical="center"/>
    </xf>
    <xf numFmtId="2" fontId="34" fillId="0" borderId="0" xfId="0" applyNumberFormat="1" applyFont="1"/>
    <xf numFmtId="0" fontId="34" fillId="0" borderId="0" xfId="0" quotePrefix="1" applyFont="1"/>
    <xf numFmtId="0" fontId="40" fillId="0" borderId="0" xfId="0" applyFont="1"/>
    <xf numFmtId="9" fontId="34" fillId="0" borderId="1" xfId="3" quotePrefix="1" applyFont="1" applyBorder="1" applyAlignment="1">
      <alignment horizontal="center" vertical="center"/>
    </xf>
    <xf numFmtId="43" fontId="34" fillId="0" borderId="1" xfId="1" quotePrefix="1" applyFont="1" applyBorder="1" applyAlignment="1">
      <alignment horizontal="center" vertical="center"/>
    </xf>
    <xf numFmtId="0" fontId="78" fillId="0" borderId="0" xfId="0" applyFont="1"/>
    <xf numFmtId="0" fontId="16" fillId="0" borderId="9" xfId="2" applyFont="1" applyBorder="1" applyAlignment="1">
      <alignment horizontal="center" vertical="center" wrapText="1"/>
    </xf>
    <xf numFmtId="164" fontId="41" fillId="0" borderId="1" xfId="0" applyNumberFormat="1" applyFont="1" applyBorder="1" applyAlignment="1">
      <alignment horizontal="center"/>
    </xf>
    <xf numFmtId="0" fontId="40" fillId="0" borderId="7" xfId="0" applyFont="1" applyBorder="1" applyAlignment="1">
      <alignment horizontal="center" vertical="center"/>
    </xf>
    <xf numFmtId="0" fontId="34" fillId="0" borderId="1" xfId="0" applyFont="1" applyBorder="1" applyAlignment="1">
      <alignment horizontal="center"/>
    </xf>
    <xf numFmtId="0" fontId="34" fillId="0" borderId="0" xfId="0" applyFont="1" applyAlignment="1">
      <alignment horizontal="center"/>
    </xf>
    <xf numFmtId="0" fontId="28" fillId="7" borderId="1" xfId="0" applyFont="1" applyFill="1" applyBorder="1" applyAlignment="1">
      <alignment horizontal="center"/>
    </xf>
    <xf numFmtId="0" fontId="28" fillId="0" borderId="1" xfId="0" applyFont="1" applyBorder="1" applyAlignment="1">
      <alignment horizontal="center" vertical="center" wrapText="1"/>
    </xf>
    <xf numFmtId="0" fontId="36" fillId="0" borderId="1" xfId="0" applyFont="1" applyBorder="1" applyAlignment="1">
      <alignment horizontal="center" vertical="center" wrapText="1"/>
    </xf>
    <xf numFmtId="0" fontId="28" fillId="0" borderId="10" xfId="0" applyFont="1" applyBorder="1" applyAlignment="1">
      <alignment horizontal="center"/>
    </xf>
    <xf numFmtId="0" fontId="28" fillId="0" borderId="9" xfId="0" applyFont="1" applyBorder="1" applyAlignment="1">
      <alignment horizontal="center"/>
    </xf>
    <xf numFmtId="0" fontId="10" fillId="0" borderId="1" xfId="0" applyFont="1" applyBorder="1" applyAlignment="1">
      <alignment horizontal="center" vertical="center" wrapText="1"/>
    </xf>
    <xf numFmtId="43" fontId="34" fillId="0" borderId="3" xfId="1" applyFont="1" applyBorder="1" applyAlignment="1">
      <alignment horizontal="center" vertical="center" wrapText="1"/>
    </xf>
    <xf numFmtId="43" fontId="34" fillId="0" borderId="5" xfId="1" applyFont="1" applyBorder="1" applyAlignment="1">
      <alignment horizontal="center" vertical="center" wrapText="1"/>
    </xf>
    <xf numFmtId="0" fontId="71" fillId="0" borderId="0" xfId="0" applyFont="1" applyAlignment="1">
      <alignment horizontal="center" vertical="center" wrapText="1"/>
    </xf>
    <xf numFmtId="2" fontId="28" fillId="2" borderId="1" xfId="0" applyNumberFormat="1" applyFont="1" applyFill="1" applyBorder="1" applyAlignment="1">
      <alignment horizontal="center" vertical="center"/>
    </xf>
    <xf numFmtId="0" fontId="28" fillId="0" borderId="1" xfId="0" applyFont="1" applyBorder="1" applyAlignment="1">
      <alignment horizontal="center" vertical="center"/>
    </xf>
    <xf numFmtId="0" fontId="34" fillId="0" borderId="1" xfId="0" applyFont="1" applyBorder="1" applyAlignment="1">
      <alignment horizontal="center" vertical="center"/>
    </xf>
    <xf numFmtId="1" fontId="28" fillId="0" borderId="1" xfId="0" applyNumberFormat="1" applyFont="1" applyBorder="1" applyAlignment="1">
      <alignment horizontal="center" vertical="center"/>
    </xf>
    <xf numFmtId="14" fontId="17" fillId="2" borderId="6" xfId="0" applyNumberFormat="1" applyFont="1" applyFill="1" applyBorder="1" applyAlignment="1">
      <alignment horizontal="center" vertical="center" wrapText="1"/>
    </xf>
    <xf numFmtId="14" fontId="17" fillId="2" borderId="7" xfId="0" applyNumberFormat="1" applyFont="1" applyFill="1" applyBorder="1" applyAlignment="1">
      <alignment horizontal="center" vertical="center" wrapText="1"/>
    </xf>
    <xf numFmtId="14" fontId="17" fillId="2" borderId="8" xfId="0" applyNumberFormat="1" applyFont="1" applyFill="1" applyBorder="1" applyAlignment="1">
      <alignment horizontal="center" vertical="center" wrapText="1"/>
    </xf>
    <xf numFmtId="0" fontId="26" fillId="0" borderId="1" xfId="0" applyFont="1" applyBorder="1" applyAlignment="1">
      <alignment horizontal="center" vertical="center" wrapText="1"/>
    </xf>
    <xf numFmtId="0" fontId="10" fillId="0" borderId="0" xfId="2" applyFont="1" applyAlignment="1">
      <alignment horizontal="left" vertical="center" wrapText="1"/>
    </xf>
    <xf numFmtId="0" fontId="6" fillId="0" borderId="1" xfId="0" applyFont="1" applyBorder="1" applyAlignment="1">
      <alignment horizontal="left" vertical="center"/>
    </xf>
    <xf numFmtId="0" fontId="6" fillId="0" borderId="10" xfId="0" applyFont="1" applyBorder="1" applyAlignment="1">
      <alignment horizontal="left" vertical="center"/>
    </xf>
    <xf numFmtId="0" fontId="26" fillId="0" borderId="13" xfId="0" applyFont="1" applyBorder="1" applyAlignment="1">
      <alignment horizontal="center" vertical="center" wrapText="1"/>
    </xf>
    <xf numFmtId="0" fontId="26" fillId="0" borderId="0" xfId="0" applyFont="1" applyAlignment="1">
      <alignment horizontal="center"/>
    </xf>
    <xf numFmtId="0" fontId="26" fillId="0" borderId="12" xfId="0" applyFont="1" applyBorder="1" applyAlignment="1">
      <alignment horizontal="center"/>
    </xf>
    <xf numFmtId="0" fontId="32" fillId="0" borderId="1" xfId="0" applyFont="1" applyBorder="1" applyAlignment="1">
      <alignment horizontal="left" vertical="center"/>
    </xf>
    <xf numFmtId="0" fontId="32" fillId="0" borderId="10" xfId="0" applyFont="1" applyBorder="1" applyAlignment="1">
      <alignment horizontal="left" vertical="center"/>
    </xf>
    <xf numFmtId="0" fontId="6" fillId="0" borderId="9" xfId="0" applyFont="1" applyBorder="1" applyAlignment="1">
      <alignment horizontal="left" vertical="center"/>
    </xf>
    <xf numFmtId="0" fontId="37" fillId="0" borderId="0" xfId="0" applyFont="1" applyAlignment="1">
      <alignment horizontal="left" vertical="center" wrapText="1"/>
    </xf>
    <xf numFmtId="0" fontId="38" fillId="0" borderId="1" xfId="0" applyFont="1" applyBorder="1" applyAlignment="1">
      <alignment horizontal="right"/>
    </xf>
    <xf numFmtId="4" fontId="24" fillId="2" borderId="2" xfId="0" quotePrefix="1" applyNumberFormat="1" applyFont="1" applyFill="1" applyBorder="1"/>
    <xf numFmtId="0" fontId="24" fillId="2" borderId="2" xfId="0" applyFont="1" applyFill="1" applyBorder="1"/>
    <xf numFmtId="4" fontId="24" fillId="2" borderId="1" xfId="0" applyNumberFormat="1" applyFont="1" applyFill="1" applyBorder="1"/>
    <xf numFmtId="0" fontId="24" fillId="2" borderId="1" xfId="0" applyFont="1" applyFill="1" applyBorder="1"/>
    <xf numFmtId="43" fontId="24" fillId="2" borderId="1" xfId="1" quotePrefix="1" applyFont="1" applyFill="1" applyBorder="1" applyAlignment="1"/>
    <xf numFmtId="43" fontId="24" fillId="2" borderId="1" xfId="1" applyFont="1" applyFill="1" applyBorder="1" applyAlignment="1"/>
    <xf numFmtId="0" fontId="42" fillId="0" borderId="6" xfId="0" applyFont="1" applyBorder="1" applyAlignment="1">
      <alignment horizontal="center" vertical="center" wrapText="1"/>
    </xf>
    <xf numFmtId="0" fontId="42" fillId="0" borderId="8" xfId="0" applyFont="1" applyBorder="1" applyAlignment="1">
      <alignment horizontal="center" vertical="center" wrapText="1"/>
    </xf>
    <xf numFmtId="0" fontId="42" fillId="0" borderId="13" xfId="0" applyFont="1" applyBorder="1" applyAlignment="1">
      <alignment horizontal="center" vertical="center" wrapText="1"/>
    </xf>
    <xf numFmtId="0" fontId="36" fillId="0" borderId="1" xfId="0" applyFont="1" applyBorder="1" applyAlignment="1">
      <alignment horizontal="center"/>
    </xf>
    <xf numFmtId="4" fontId="28" fillId="2" borderId="1" xfId="0" applyNumberFormat="1" applyFont="1" applyFill="1" applyBorder="1" applyAlignment="1">
      <alignment horizontal="center"/>
    </xf>
    <xf numFmtId="0" fontId="28" fillId="2" borderId="1" xfId="0" applyFont="1" applyFill="1" applyBorder="1" applyAlignment="1">
      <alignment horizontal="center"/>
    </xf>
    <xf numFmtId="0" fontId="37" fillId="0" borderId="1" xfId="0" applyFont="1" applyBorder="1" applyAlignment="1">
      <alignment horizontal="right" vertical="center" wrapText="1"/>
    </xf>
    <xf numFmtId="2" fontId="24" fillId="2" borderId="1" xfId="0" applyNumberFormat="1" applyFont="1" applyFill="1" applyBorder="1" applyAlignment="1">
      <alignment horizontal="center"/>
    </xf>
    <xf numFmtId="0" fontId="24" fillId="2" borderId="1" xfId="0" applyFont="1" applyFill="1" applyBorder="1" applyAlignment="1">
      <alignment horizontal="center"/>
    </xf>
    <xf numFmtId="0" fontId="38" fillId="0" borderId="3" xfId="0" applyFont="1" applyBorder="1" applyAlignment="1">
      <alignment horizontal="center" vertical="center" wrapText="1"/>
    </xf>
    <xf numFmtId="0" fontId="38" fillId="0" borderId="4"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6" xfId="0" applyFont="1" applyBorder="1" applyAlignment="1">
      <alignment horizontal="center" vertical="center" wrapText="1"/>
    </xf>
    <xf numFmtId="0" fontId="38" fillId="0" borderId="7" xfId="0" applyFont="1" applyBorder="1" applyAlignment="1">
      <alignment horizontal="center" vertical="center" wrapText="1"/>
    </xf>
    <xf numFmtId="0" fontId="38" fillId="0" borderId="8" xfId="0" applyFont="1" applyBorder="1" applyAlignment="1">
      <alignment horizontal="center" vertical="center" wrapText="1"/>
    </xf>
    <xf numFmtId="0" fontId="38" fillId="0" borderId="13" xfId="0" applyFont="1" applyBorder="1" applyAlignment="1">
      <alignment horizontal="center" vertical="center" wrapText="1"/>
    </xf>
    <xf numFmtId="4" fontId="24" fillId="2" borderId="3" xfId="0" applyNumberFormat="1" applyFont="1" applyFill="1" applyBorder="1" applyAlignment="1">
      <alignment horizontal="center"/>
    </xf>
    <xf numFmtId="0" fontId="24" fillId="2" borderId="5" xfId="0" applyFont="1" applyFill="1" applyBorder="1" applyAlignment="1">
      <alignment horizontal="center"/>
    </xf>
    <xf numFmtId="10" fontId="24" fillId="2" borderId="1" xfId="0" applyNumberFormat="1" applyFont="1" applyFill="1" applyBorder="1" applyAlignment="1">
      <alignment horizontal="center"/>
    </xf>
    <xf numFmtId="0" fontId="8" fillId="6"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vertical="center" wrapText="1"/>
    </xf>
    <xf numFmtId="0" fontId="8" fillId="5" borderId="1" xfId="0" applyFont="1" applyFill="1" applyBorder="1" applyAlignment="1">
      <alignment horizontal="center" vertical="center" wrapText="1"/>
    </xf>
    <xf numFmtId="0" fontId="5" fillId="0" borderId="0" xfId="0" applyFont="1" applyAlignment="1">
      <alignment horizontal="left" vertical="center"/>
    </xf>
    <xf numFmtId="0" fontId="3"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9" xfId="0" applyFont="1" applyBorder="1" applyAlignment="1">
      <alignment horizontal="left" vertical="center" wrapText="1"/>
    </xf>
    <xf numFmtId="0" fontId="8" fillId="4"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3" fillId="0" borderId="10" xfId="0" applyFont="1" applyBorder="1" applyAlignment="1">
      <alignment horizontal="left" vertical="center" wrapText="1"/>
    </xf>
    <xf numFmtId="0" fontId="3" fillId="0" borderId="9" xfId="0" applyFont="1" applyBorder="1" applyAlignment="1">
      <alignment horizontal="left" vertical="center" wrapText="1"/>
    </xf>
    <xf numFmtId="0" fontId="4" fillId="0" borderId="0" xfId="0" applyFont="1" applyAlignment="1">
      <alignment horizontal="center"/>
    </xf>
    <xf numFmtId="0" fontId="21" fillId="0" borderId="0" xfId="0" applyFont="1" applyAlignment="1">
      <alignment horizontal="left"/>
    </xf>
    <xf numFmtId="0" fontId="0" fillId="0" borderId="0" xfId="0" applyAlignment="1">
      <alignment horizontal="center" vertical="center" wrapText="1"/>
    </xf>
    <xf numFmtId="0" fontId="7" fillId="0" borderId="0" xfId="0" applyFont="1" applyAlignment="1">
      <alignment horizontal="center" vertical="center" wrapText="1"/>
    </xf>
    <xf numFmtId="0" fontId="7" fillId="0" borderId="10" xfId="0" applyFont="1" applyBorder="1" applyAlignment="1">
      <alignment vertical="center" wrapText="1"/>
    </xf>
    <xf numFmtId="0" fontId="7" fillId="0" borderId="9" xfId="0" applyFont="1" applyBorder="1" applyAlignment="1">
      <alignment vertical="center" wrapText="1"/>
    </xf>
    <xf numFmtId="0" fontId="0" fillId="0" borderId="10" xfId="0" applyBorder="1" applyAlignment="1">
      <alignment horizontal="center"/>
    </xf>
    <xf numFmtId="0" fontId="0" fillId="0" borderId="9" xfId="0" applyBorder="1" applyAlignment="1">
      <alignment horizontal="center"/>
    </xf>
    <xf numFmtId="0" fontId="16" fillId="0" borderId="10" xfId="2" applyFont="1" applyBorder="1" applyAlignment="1">
      <alignment horizontal="center" vertical="center" wrapText="1"/>
    </xf>
    <xf numFmtId="0" fontId="16" fillId="0" borderId="15" xfId="2" applyFont="1" applyBorder="1" applyAlignment="1">
      <alignment horizontal="center" vertical="center" wrapText="1"/>
    </xf>
    <xf numFmtId="0" fontId="16" fillId="0" borderId="9" xfId="2" applyFont="1" applyBorder="1" applyAlignment="1">
      <alignment horizontal="center" vertical="center" wrapText="1"/>
    </xf>
    <xf numFmtId="0" fontId="16" fillId="0" borderId="20" xfId="2" applyFont="1" applyBorder="1" applyAlignment="1">
      <alignment horizontal="center" vertical="center" wrapText="1"/>
    </xf>
    <xf numFmtId="0" fontId="16" fillId="0" borderId="4" xfId="2" applyFont="1" applyBorder="1" applyAlignment="1">
      <alignment horizontal="center" vertical="center" wrapText="1"/>
    </xf>
    <xf numFmtId="0" fontId="60" fillId="0" borderId="1" xfId="0" applyFont="1" applyBorder="1" applyAlignment="1">
      <alignment horizontal="right"/>
    </xf>
    <xf numFmtId="0" fontId="30" fillId="0" borderId="1" xfId="0" applyFont="1" applyBorder="1" applyAlignment="1">
      <alignment horizontal="center" vertical="center" wrapText="1"/>
    </xf>
    <xf numFmtId="0" fontId="21" fillId="4" borderId="1" xfId="0" applyFont="1" applyFill="1" applyBorder="1" applyAlignment="1">
      <alignment horizontal="center" vertical="center" wrapText="1"/>
    </xf>
    <xf numFmtId="14" fontId="17" fillId="0" borderId="6" xfId="0" applyNumberFormat="1" applyFont="1" applyBorder="1" applyAlignment="1">
      <alignment horizontal="center" vertical="center" wrapText="1"/>
    </xf>
    <xf numFmtId="14" fontId="17" fillId="0" borderId="7" xfId="0" applyNumberFormat="1" applyFont="1" applyBorder="1" applyAlignment="1">
      <alignment horizontal="center" vertical="center" wrapText="1"/>
    </xf>
    <xf numFmtId="14" fontId="17" fillId="0" borderId="8" xfId="0" applyNumberFormat="1" applyFont="1" applyBorder="1" applyAlignment="1">
      <alignment horizontal="center" vertical="center" wrapText="1"/>
    </xf>
    <xf numFmtId="0" fontId="55" fillId="2" borderId="6" xfId="2" applyFont="1" applyFill="1" applyBorder="1" applyAlignment="1">
      <alignment horizontal="center" vertical="center" wrapText="1"/>
    </xf>
    <xf numFmtId="0" fontId="55" fillId="2" borderId="7" xfId="2" applyFont="1" applyFill="1" applyBorder="1" applyAlignment="1">
      <alignment horizontal="center" vertical="center" wrapText="1"/>
    </xf>
    <xf numFmtId="0" fontId="16" fillId="0" borderId="10" xfId="2" applyFont="1" applyBorder="1" applyAlignment="1">
      <alignment horizontal="right" vertical="center" wrapText="1"/>
    </xf>
    <xf numFmtId="0" fontId="16" fillId="0" borderId="15" xfId="2" applyFont="1" applyBorder="1" applyAlignment="1">
      <alignment horizontal="right" vertical="center" wrapText="1"/>
    </xf>
    <xf numFmtId="0" fontId="16" fillId="0" borderId="9" xfId="2" applyFont="1" applyBorder="1" applyAlignment="1">
      <alignment horizontal="right" vertical="center" wrapText="1"/>
    </xf>
    <xf numFmtId="0" fontId="7" fillId="0" borderId="10" xfId="0" applyFont="1" applyBorder="1" applyAlignment="1">
      <alignment horizontal="center" vertical="center" wrapText="1"/>
    </xf>
    <xf numFmtId="0" fontId="7" fillId="0" borderId="9" xfId="0" applyFont="1" applyBorder="1" applyAlignment="1">
      <alignment horizontal="center" vertical="center" wrapText="1"/>
    </xf>
    <xf numFmtId="0" fontId="16" fillId="0" borderId="10" xfId="2" applyFont="1" applyBorder="1" applyAlignment="1">
      <alignment horizontal="center"/>
    </xf>
    <xf numFmtId="0" fontId="16" fillId="0" borderId="15" xfId="2" applyFont="1" applyBorder="1" applyAlignment="1">
      <alignment horizontal="center"/>
    </xf>
    <xf numFmtId="0" fontId="16" fillId="0" borderId="9" xfId="2" applyFont="1" applyBorder="1" applyAlignment="1">
      <alignment horizontal="center"/>
    </xf>
    <xf numFmtId="0" fontId="17" fillId="0" borderId="1" xfId="2" applyFont="1" applyBorder="1" applyAlignment="1">
      <alignment horizontal="center"/>
    </xf>
    <xf numFmtId="3" fontId="16" fillId="0" borderId="10" xfId="2" applyNumberFormat="1" applyFont="1" applyBorder="1" applyAlignment="1">
      <alignment horizontal="center"/>
    </xf>
    <xf numFmtId="3" fontId="16" fillId="0" borderId="15" xfId="2" applyNumberFormat="1" applyFont="1" applyBorder="1" applyAlignment="1">
      <alignment horizontal="center"/>
    </xf>
    <xf numFmtId="3" fontId="16" fillId="0" borderId="9" xfId="2" applyNumberFormat="1" applyFont="1" applyBorder="1" applyAlignment="1">
      <alignment horizontal="center"/>
    </xf>
    <xf numFmtId="1" fontId="17" fillId="0" borderId="1" xfId="2" applyNumberFormat="1" applyFont="1" applyBorder="1" applyAlignment="1">
      <alignment horizontal="center"/>
    </xf>
    <xf numFmtId="0" fontId="2" fillId="0" borderId="25" xfId="2" applyFont="1" applyBorder="1" applyAlignment="1">
      <alignment horizontal="center"/>
    </xf>
    <xf numFmtId="0" fontId="2" fillId="0" borderId="19" xfId="2" applyFont="1" applyBorder="1" applyAlignment="1">
      <alignment horizontal="center"/>
    </xf>
    <xf numFmtId="0" fontId="60" fillId="0" borderId="10" xfId="2" applyFont="1" applyBorder="1" applyAlignment="1">
      <alignment horizontal="center"/>
    </xf>
    <xf numFmtId="0" fontId="60" fillId="0" borderId="15" xfId="2" applyFont="1" applyBorder="1" applyAlignment="1">
      <alignment horizontal="center"/>
    </xf>
    <xf numFmtId="0" fontId="60" fillId="0" borderId="9" xfId="2" applyFont="1" applyBorder="1" applyAlignment="1">
      <alignment horizontal="center"/>
    </xf>
    <xf numFmtId="0" fontId="60" fillId="0" borderId="3" xfId="2" applyFont="1" applyBorder="1" applyAlignment="1">
      <alignment horizontal="center"/>
    </xf>
    <xf numFmtId="0" fontId="60" fillId="0" borderId="4" xfId="2" applyFont="1" applyBorder="1" applyAlignment="1">
      <alignment horizontal="center"/>
    </xf>
    <xf numFmtId="0" fontId="60" fillId="0" borderId="5" xfId="2" applyFont="1" applyBorder="1" applyAlignment="1">
      <alignment horizontal="center"/>
    </xf>
    <xf numFmtId="0" fontId="17" fillId="0" borderId="10" xfId="2" applyFont="1" applyBorder="1" applyAlignment="1">
      <alignment horizontal="center"/>
    </xf>
    <xf numFmtId="0" fontId="17" fillId="0" borderId="15" xfId="2" applyFont="1" applyBorder="1" applyAlignment="1">
      <alignment horizontal="center"/>
    </xf>
    <xf numFmtId="0" fontId="17" fillId="0" borderId="9" xfId="2" applyFont="1" applyBorder="1" applyAlignment="1">
      <alignment horizontal="center"/>
    </xf>
    <xf numFmtId="0" fontId="16" fillId="0" borderId="17" xfId="2" quotePrefix="1" applyFont="1" applyBorder="1" applyAlignment="1">
      <alignment horizontal="center"/>
    </xf>
    <xf numFmtId="0" fontId="16" fillId="0" borderId="10" xfId="0" applyFont="1" applyBorder="1" applyAlignment="1">
      <alignment horizontal="left"/>
    </xf>
    <xf numFmtId="0" fontId="16" fillId="0" borderId="9" xfId="0" applyFont="1" applyBorder="1" applyAlignment="1">
      <alignment horizontal="left"/>
    </xf>
    <xf numFmtId="0" fontId="16" fillId="0" borderId="17" xfId="2" applyFont="1" applyBorder="1" applyAlignment="1">
      <alignment horizontal="center"/>
    </xf>
    <xf numFmtId="0" fontId="60" fillId="0" borderId="21" xfId="0" applyFont="1" applyBorder="1" applyAlignment="1">
      <alignment horizontal="center"/>
    </xf>
    <xf numFmtId="0" fontId="60" fillId="0" borderId="22" xfId="0" applyFont="1" applyBorder="1" applyAlignment="1">
      <alignment horizontal="center"/>
    </xf>
    <xf numFmtId="0" fontId="60" fillId="0" borderId="23" xfId="0" applyFont="1" applyBorder="1" applyAlignment="1">
      <alignment horizontal="center"/>
    </xf>
    <xf numFmtId="0" fontId="55" fillId="2" borderId="10" xfId="2" applyFont="1" applyFill="1" applyBorder="1" applyAlignment="1">
      <alignment horizontal="center" vertical="center" wrapText="1"/>
    </xf>
    <xf numFmtId="0" fontId="55" fillId="2" borderId="15" xfId="2" applyFont="1" applyFill="1" applyBorder="1" applyAlignment="1">
      <alignment horizontal="center" vertical="center" wrapText="1"/>
    </xf>
    <xf numFmtId="0" fontId="55" fillId="2" borderId="9" xfId="2" applyFont="1" applyFill="1" applyBorder="1" applyAlignment="1">
      <alignment horizontal="center" vertical="center" wrapText="1"/>
    </xf>
    <xf numFmtId="9" fontId="68" fillId="0" borderId="8" xfId="3" applyFont="1" applyBorder="1" applyAlignment="1">
      <alignment horizontal="center" vertical="center" wrapText="1"/>
    </xf>
    <xf numFmtId="9" fontId="68" fillId="0" borderId="13" xfId="3" applyFont="1" applyBorder="1" applyAlignment="1">
      <alignment horizontal="center" vertical="center" wrapText="1"/>
    </xf>
    <xf numFmtId="0" fontId="57" fillId="5" borderId="15" xfId="0" applyFont="1" applyFill="1" applyBorder="1" applyAlignment="1">
      <alignment horizontal="center" vertical="center" wrapText="1"/>
    </xf>
    <xf numFmtId="0" fontId="57" fillId="5" borderId="9" xfId="0" applyFont="1" applyFill="1" applyBorder="1" applyAlignment="1">
      <alignment horizontal="center" vertical="center" wrapText="1"/>
    </xf>
    <xf numFmtId="0" fontId="3" fillId="0" borderId="15" xfId="0" applyFont="1" applyBorder="1" applyAlignment="1">
      <alignment horizontal="left" vertical="center" wrapText="1"/>
    </xf>
    <xf numFmtId="0" fontId="65" fillId="5" borderId="7" xfId="0" applyFont="1" applyFill="1" applyBorder="1" applyAlignment="1">
      <alignment horizontal="center" vertical="center" wrapText="1"/>
    </xf>
    <xf numFmtId="0" fontId="65" fillId="5" borderId="8" xfId="0" applyFont="1" applyFill="1" applyBorder="1" applyAlignment="1">
      <alignment horizontal="center" vertical="center" wrapText="1"/>
    </xf>
    <xf numFmtId="0" fontId="63" fillId="4" borderId="8" xfId="0" applyFont="1" applyFill="1" applyBorder="1" applyAlignment="1">
      <alignment horizontal="center" vertical="center" wrapText="1"/>
    </xf>
    <xf numFmtId="0" fontId="63" fillId="4" borderId="13" xfId="0" applyFont="1" applyFill="1" applyBorder="1" applyAlignment="1">
      <alignment horizontal="center" vertical="center" wrapText="1"/>
    </xf>
    <xf numFmtId="0" fontId="17" fillId="0" borderId="1" xfId="0" applyFont="1" applyBorder="1" applyAlignment="1">
      <alignment horizontal="left" vertical="center" wrapText="1"/>
    </xf>
    <xf numFmtId="0" fontId="33" fillId="0" borderId="10" xfId="0" applyFont="1" applyBorder="1" applyAlignment="1">
      <alignment horizontal="center"/>
    </xf>
    <xf numFmtId="0" fontId="33" fillId="0" borderId="15" xfId="0" applyFont="1" applyBorder="1" applyAlignment="1">
      <alignment horizontal="center"/>
    </xf>
    <xf numFmtId="0" fontId="33" fillId="0" borderId="9" xfId="0" applyFont="1" applyBorder="1" applyAlignment="1">
      <alignment horizontal="center"/>
    </xf>
    <xf numFmtId="0" fontId="7" fillId="0" borderId="0" xfId="0" applyFont="1" applyAlignment="1">
      <alignment horizontal="left" vertical="center"/>
    </xf>
    <xf numFmtId="0" fontId="3" fillId="0" borderId="15" xfId="0" applyFont="1" applyBorder="1" applyAlignment="1">
      <alignment horizontal="center" vertical="center" wrapText="1"/>
    </xf>
    <xf numFmtId="0" fontId="3" fillId="0" borderId="9" xfId="0" applyFont="1" applyBorder="1" applyAlignment="1">
      <alignment horizontal="center" vertical="center" wrapText="1"/>
    </xf>
    <xf numFmtId="0" fontId="24" fillId="0" borderId="0" xfId="0" applyFont="1" applyAlignment="1">
      <alignment horizontal="center"/>
    </xf>
    <xf numFmtId="0" fontId="26" fillId="0" borderId="0" xfId="0" applyFont="1" applyAlignment="1">
      <alignment horizontal="center" vertical="center" wrapText="1"/>
    </xf>
    <xf numFmtId="0" fontId="35" fillId="0" borderId="1" xfId="0" applyFont="1" applyBorder="1" applyAlignment="1">
      <alignment horizontal="right" vertical="center" wrapText="1"/>
    </xf>
    <xf numFmtId="0" fontId="33" fillId="0" borderId="0" xfId="0" applyFont="1" applyAlignment="1">
      <alignment horizontal="center"/>
    </xf>
    <xf numFmtId="4" fontId="27" fillId="0" borderId="1" xfId="0" quotePrefix="1" applyNumberFormat="1" applyFont="1" applyBorder="1" applyAlignment="1">
      <alignment horizontal="center" vertical="center" wrapText="1"/>
    </xf>
    <xf numFmtId="4" fontId="41" fillId="0" borderId="1" xfId="0" applyNumberFormat="1" applyFont="1" applyBorder="1" applyAlignment="1">
      <alignment horizontal="center"/>
    </xf>
    <xf numFmtId="0" fontId="8" fillId="0" borderId="0" xfId="0" applyFont="1" applyAlignment="1">
      <alignment horizontal="center"/>
    </xf>
    <xf numFmtId="0" fontId="56" fillId="0" borderId="0" xfId="0" applyFont="1" applyAlignment="1">
      <alignment horizontal="left"/>
    </xf>
    <xf numFmtId="0" fontId="65" fillId="6" borderId="4" xfId="0" applyFont="1" applyFill="1" applyBorder="1" applyAlignment="1">
      <alignment horizontal="center" vertical="center" wrapText="1"/>
    </xf>
    <xf numFmtId="0" fontId="65" fillId="6" borderId="5" xfId="0" applyFont="1" applyFill="1" applyBorder="1" applyAlignment="1">
      <alignment horizontal="center" vertical="center" wrapText="1"/>
    </xf>
    <xf numFmtId="0" fontId="3" fillId="0" borderId="1" xfId="0" applyFont="1" applyBorder="1" applyAlignment="1">
      <alignment vertical="center" wrapText="1"/>
    </xf>
    <xf numFmtId="0" fontId="68" fillId="0" borderId="8" xfId="0" applyFont="1" applyBorder="1" applyAlignment="1">
      <alignment horizontal="center" vertical="center" wrapText="1"/>
    </xf>
    <xf numFmtId="0" fontId="68" fillId="0" borderId="13" xfId="0" applyFont="1" applyBorder="1" applyAlignment="1">
      <alignment horizontal="center" vertical="center" wrapText="1"/>
    </xf>
    <xf numFmtId="4" fontId="27" fillId="0" borderId="1" xfId="0" applyNumberFormat="1" applyFont="1" applyBorder="1" applyAlignment="1">
      <alignment horizontal="center" vertical="center" wrapText="1"/>
    </xf>
    <xf numFmtId="0" fontId="27" fillId="0" borderId="1" xfId="0" applyFont="1" applyBorder="1" applyAlignment="1">
      <alignment horizontal="center" vertical="center" wrapText="1"/>
    </xf>
    <xf numFmtId="0" fontId="40" fillId="0" borderId="1" xfId="0" applyFont="1" applyBorder="1" applyAlignment="1">
      <alignment horizontal="right" vertical="center" wrapText="1"/>
    </xf>
    <xf numFmtId="0" fontId="42" fillId="0" borderId="10" xfId="0" applyFont="1" applyBorder="1" applyAlignment="1">
      <alignment horizontal="center" vertical="center" wrapText="1"/>
    </xf>
    <xf numFmtId="0" fontId="42" fillId="0" borderId="9" xfId="0" applyFont="1" applyBorder="1" applyAlignment="1">
      <alignment horizontal="center" vertical="center" wrapText="1"/>
    </xf>
    <xf numFmtId="164" fontId="41" fillId="0" borderId="1" xfId="0" applyNumberFormat="1" applyFont="1" applyBorder="1" applyAlignment="1">
      <alignment horizontal="center"/>
    </xf>
    <xf numFmtId="0" fontId="41" fillId="0" borderId="1" xfId="0" applyFont="1" applyBorder="1" applyAlignment="1">
      <alignment horizontal="center"/>
    </xf>
    <xf numFmtId="0" fontId="42" fillId="0" borderId="1" xfId="0" applyFont="1" applyBorder="1" applyAlignment="1">
      <alignment horizontal="right"/>
    </xf>
    <xf numFmtId="0" fontId="35" fillId="0" borderId="11" xfId="0" applyFont="1" applyBorder="1" applyAlignment="1">
      <alignment horizontal="center" vertical="center" wrapText="1"/>
    </xf>
    <xf numFmtId="0" fontId="35" fillId="0" borderId="0" xfId="0" applyFont="1" applyAlignment="1">
      <alignment horizontal="center" vertical="center" wrapText="1"/>
    </xf>
    <xf numFmtId="0" fontId="35" fillId="0" borderId="12" xfId="0" applyFont="1" applyBorder="1" applyAlignment="1">
      <alignment horizontal="center" vertical="center" wrapText="1"/>
    </xf>
    <xf numFmtId="0" fontId="35" fillId="0" borderId="6" xfId="0" applyFont="1" applyBorder="1" applyAlignment="1">
      <alignment horizontal="center" vertical="center" wrapText="1"/>
    </xf>
    <xf numFmtId="0" fontId="35" fillId="0" borderId="7" xfId="0" applyFont="1" applyBorder="1" applyAlignment="1">
      <alignment horizontal="center" vertical="center" wrapText="1"/>
    </xf>
    <xf numFmtId="0" fontId="35" fillId="0" borderId="8" xfId="0" applyFont="1" applyBorder="1" applyAlignment="1">
      <alignment horizontal="center" vertical="center" wrapText="1"/>
    </xf>
    <xf numFmtId="4" fontId="42" fillId="0" borderId="3" xfId="0" applyNumberFormat="1" applyFont="1" applyBorder="1" applyAlignment="1">
      <alignment horizontal="center" vertical="center" wrapText="1"/>
    </xf>
    <xf numFmtId="0" fontId="42" fillId="0" borderId="5" xfId="0" applyFont="1" applyBorder="1" applyAlignment="1">
      <alignment horizontal="center" vertical="center" wrapText="1"/>
    </xf>
    <xf numFmtId="10" fontId="42" fillId="0" borderId="1" xfId="0" applyNumberFormat="1" applyFont="1" applyBorder="1" applyAlignment="1">
      <alignment horizontal="center" vertical="center" wrapText="1"/>
    </xf>
    <xf numFmtId="0" fontId="42" fillId="0" borderId="1" xfId="0" applyFont="1" applyBorder="1" applyAlignment="1">
      <alignment horizontal="center" vertical="center" wrapText="1"/>
    </xf>
    <xf numFmtId="0" fontId="42" fillId="0" borderId="10" xfId="0" applyFont="1" applyBorder="1" applyAlignment="1">
      <alignment horizontal="right"/>
    </xf>
    <xf numFmtId="0" fontId="42" fillId="0" borderId="15" xfId="0" applyFont="1" applyBorder="1" applyAlignment="1">
      <alignment horizontal="right"/>
    </xf>
    <xf numFmtId="0" fontId="42" fillId="0" borderId="9" xfId="0" applyFont="1" applyBorder="1" applyAlignment="1">
      <alignment horizontal="right"/>
    </xf>
    <xf numFmtId="0" fontId="17" fillId="0" borderId="1" xfId="0" applyFont="1" applyBorder="1" applyAlignment="1">
      <alignment horizontal="center" vertical="center" wrapText="1"/>
    </xf>
    <xf numFmtId="0" fontId="40" fillId="0" borderId="15" xfId="0" applyFont="1" applyBorder="1" applyAlignment="1">
      <alignment horizontal="center" vertical="center" wrapText="1"/>
    </xf>
    <xf numFmtId="0" fontId="40" fillId="0" borderId="9" xfId="0" applyFont="1" applyBorder="1" applyAlignment="1">
      <alignment horizontal="center" vertical="center" wrapText="1"/>
    </xf>
    <xf numFmtId="0" fontId="33" fillId="0" borderId="1" xfId="0" applyFont="1" applyBorder="1" applyAlignment="1">
      <alignment horizontal="center" vertical="center" wrapText="1"/>
    </xf>
    <xf numFmtId="43" fontId="46" fillId="0" borderId="1" xfId="1" applyFont="1" applyFill="1" applyBorder="1" applyAlignment="1"/>
    <xf numFmtId="0" fontId="50" fillId="0" borderId="10" xfId="0" applyFont="1" applyBorder="1" applyAlignment="1">
      <alignment horizontal="left"/>
    </xf>
    <xf numFmtId="0" fontId="50" fillId="0" borderId="15" xfId="0" applyFont="1" applyBorder="1" applyAlignment="1">
      <alignment horizontal="left"/>
    </xf>
    <xf numFmtId="0" fontId="50" fillId="0" borderId="9" xfId="0" applyFont="1" applyBorder="1" applyAlignment="1">
      <alignment horizontal="left"/>
    </xf>
    <xf numFmtId="43" fontId="46" fillId="0" borderId="10" xfId="1" applyFont="1" applyFill="1" applyBorder="1" applyAlignment="1"/>
    <xf numFmtId="43" fontId="46" fillId="0" borderId="15" xfId="1" applyFont="1" applyFill="1" applyBorder="1" applyAlignment="1"/>
    <xf numFmtId="43" fontId="46" fillId="0" borderId="9" xfId="1" applyFont="1" applyFill="1" applyBorder="1" applyAlignment="1"/>
    <xf numFmtId="0" fontId="33" fillId="0" borderId="0" xfId="0" applyFont="1" applyAlignment="1">
      <alignment horizontal="center" wrapText="1"/>
    </xf>
    <xf numFmtId="174" fontId="16" fillId="0" borderId="0" xfId="1" applyNumberFormat="1" applyFont="1" applyBorder="1" applyAlignment="1">
      <alignment horizontal="center" vertical="center" wrapText="1"/>
    </xf>
    <xf numFmtId="0" fontId="25" fillId="0" borderId="1" xfId="0" applyFont="1" applyBorder="1" applyAlignment="1">
      <alignment horizontal="center"/>
    </xf>
    <xf numFmtId="0" fontId="3" fillId="0" borderId="10" xfId="0" applyFont="1" applyBorder="1" applyAlignment="1">
      <alignment horizontal="center" vertical="center" wrapText="1"/>
    </xf>
    <xf numFmtId="0" fontId="35" fillId="0" borderId="15" xfId="0" applyFont="1" applyBorder="1" applyAlignment="1">
      <alignment horizontal="center" vertical="center" wrapText="1"/>
    </xf>
    <xf numFmtId="174" fontId="16" fillId="0" borderId="1" xfId="1" applyNumberFormat="1" applyFont="1" applyBorder="1" applyAlignment="1">
      <alignment horizontal="center" vertical="center" wrapText="1"/>
    </xf>
    <xf numFmtId="0" fontId="0" fillId="0" borderId="10" xfId="0" applyBorder="1" applyAlignment="1">
      <alignment horizontal="center" vertical="center" wrapText="1"/>
    </xf>
    <xf numFmtId="0" fontId="0" fillId="0" borderId="9" xfId="0" applyBorder="1" applyAlignment="1">
      <alignment horizontal="center" vertical="center" wrapText="1"/>
    </xf>
    <xf numFmtId="0" fontId="33" fillId="0" borderId="1" xfId="0" applyFont="1" applyBorder="1" applyAlignment="1">
      <alignment horizontal="center"/>
    </xf>
    <xf numFmtId="0" fontId="33" fillId="0" borderId="10" xfId="0" applyFont="1" applyBorder="1" applyAlignment="1">
      <alignment horizontal="center" vertical="center" wrapText="1"/>
    </xf>
    <xf numFmtId="0" fontId="33" fillId="0" borderId="15" xfId="0" applyFont="1" applyBorder="1" applyAlignment="1">
      <alignment horizontal="center" vertical="center" wrapText="1"/>
    </xf>
    <xf numFmtId="0" fontId="33" fillId="0" borderId="9" xfId="0" applyFont="1" applyBorder="1" applyAlignment="1">
      <alignment horizontal="center" vertical="center" wrapText="1"/>
    </xf>
    <xf numFmtId="0" fontId="0" fillId="0" borderId="2" xfId="0" applyBorder="1" applyAlignment="1">
      <alignment horizontal="center" vertical="center" wrapText="1"/>
    </xf>
    <xf numFmtId="0" fontId="0" fillId="0" borderId="1" xfId="0" applyBorder="1" applyAlignment="1">
      <alignment horizontal="center" vertical="center" wrapText="1"/>
    </xf>
    <xf numFmtId="43" fontId="33" fillId="0" borderId="10" xfId="1" applyFont="1" applyBorder="1" applyAlignment="1">
      <alignment horizontal="center"/>
    </xf>
    <xf numFmtId="43" fontId="33" fillId="0" borderId="9" xfId="1" applyFont="1" applyBorder="1" applyAlignment="1">
      <alignment horizontal="center"/>
    </xf>
    <xf numFmtId="0" fontId="35" fillId="0" borderId="10" xfId="0" applyFont="1" applyBorder="1" applyAlignment="1">
      <alignment horizontal="center" vertical="center" wrapText="1"/>
    </xf>
    <xf numFmtId="0" fontId="35" fillId="0" borderId="9" xfId="0" applyFont="1" applyBorder="1" applyAlignment="1">
      <alignment horizontal="center" vertical="center" wrapText="1"/>
    </xf>
    <xf numFmtId="0" fontId="0" fillId="0" borderId="1" xfId="0" applyBorder="1" applyAlignment="1">
      <alignment horizontal="center"/>
    </xf>
    <xf numFmtId="0" fontId="35" fillId="8" borderId="1" xfId="0" applyFont="1" applyFill="1" applyBorder="1" applyAlignment="1">
      <alignment horizontal="center" vertical="center" wrapText="1"/>
    </xf>
    <xf numFmtId="0" fontId="35" fillId="8" borderId="1" xfId="0" applyFont="1" applyFill="1" applyBorder="1" applyAlignment="1">
      <alignment horizontal="center" vertical="center"/>
    </xf>
    <xf numFmtId="0" fontId="7" fillId="0" borderId="15" xfId="0" applyFont="1" applyBorder="1" applyAlignment="1">
      <alignment horizontal="center" vertical="center" wrapText="1"/>
    </xf>
    <xf numFmtId="43" fontId="33" fillId="0" borderId="15" xfId="1" applyFont="1" applyBorder="1" applyAlignment="1">
      <alignment horizontal="center"/>
    </xf>
    <xf numFmtId="0" fontId="33" fillId="0" borderId="1" xfId="0" quotePrefix="1" applyFont="1" applyBorder="1" applyAlignment="1">
      <alignment horizontal="center"/>
    </xf>
    <xf numFmtId="0" fontId="11" fillId="0" borderId="10" xfId="0" applyFont="1" applyBorder="1" applyAlignment="1">
      <alignment horizontal="center" vertical="center"/>
    </xf>
    <xf numFmtId="0" fontId="11" fillId="0" borderId="9" xfId="0" applyFont="1" applyBorder="1" applyAlignment="1">
      <alignment horizontal="center" vertical="center"/>
    </xf>
    <xf numFmtId="0" fontId="11" fillId="0" borderId="10" xfId="0" applyFont="1" applyBorder="1" applyAlignment="1">
      <alignment horizontal="left" vertical="center"/>
    </xf>
    <xf numFmtId="0" fontId="11" fillId="0" borderId="9" xfId="0" applyFont="1" applyBorder="1" applyAlignment="1">
      <alignment horizontal="left" vertical="center"/>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17" fillId="0" borderId="10" xfId="0" applyFont="1" applyBorder="1" applyAlignment="1">
      <alignment horizontal="left" vertical="center" wrapText="1"/>
    </xf>
    <xf numFmtId="0" fontId="17" fillId="0" borderId="9" xfId="0" applyFont="1" applyBorder="1" applyAlignment="1">
      <alignment horizontal="left" vertical="center" wrapText="1"/>
    </xf>
    <xf numFmtId="0" fontId="3" fillId="2" borderId="10" xfId="0" applyFont="1" applyFill="1" applyBorder="1" applyAlignment="1">
      <alignment horizontal="center" vertical="center"/>
    </xf>
    <xf numFmtId="0" fontId="3" fillId="2" borderId="15" xfId="0" applyFont="1" applyFill="1" applyBorder="1" applyAlignment="1">
      <alignment horizontal="center" vertical="center"/>
    </xf>
    <xf numFmtId="0" fontId="3" fillId="2" borderId="9" xfId="0" applyFont="1" applyFill="1" applyBorder="1" applyAlignment="1">
      <alignment horizontal="center" vertical="center"/>
    </xf>
    <xf numFmtId="0" fontId="3" fillId="0" borderId="10" xfId="0" applyFont="1" applyBorder="1" applyAlignment="1">
      <alignment horizontal="left" vertical="center"/>
    </xf>
    <xf numFmtId="0" fontId="3" fillId="0" borderId="9" xfId="0" applyFont="1" applyBorder="1" applyAlignment="1">
      <alignment horizontal="left" vertical="center"/>
    </xf>
    <xf numFmtId="0" fontId="52" fillId="0" borderId="0" xfId="0" applyFont="1" applyAlignment="1">
      <alignment horizontal="center" vertical="center" wrapText="1"/>
    </xf>
    <xf numFmtId="0" fontId="17" fillId="2" borderId="10" xfId="0" applyFont="1" applyFill="1" applyBorder="1" applyAlignment="1">
      <alignment horizontal="center" vertical="center" wrapText="1"/>
    </xf>
    <xf numFmtId="0" fontId="17" fillId="2" borderId="15" xfId="0" applyFont="1" applyFill="1" applyBorder="1" applyAlignment="1">
      <alignment horizontal="center" vertical="center" wrapText="1"/>
    </xf>
    <xf numFmtId="0" fontId="17" fillId="2" borderId="9" xfId="0" applyFont="1" applyFill="1" applyBorder="1" applyAlignment="1">
      <alignment horizontal="center" vertical="center" wrapText="1"/>
    </xf>
    <xf numFmtId="0" fontId="3" fillId="0" borderId="10" xfId="0" applyFont="1" applyBorder="1" applyAlignment="1">
      <alignment vertical="center" wrapText="1"/>
    </xf>
    <xf numFmtId="0" fontId="3" fillId="0" borderId="9" xfId="0" applyFont="1" applyBorder="1" applyAlignment="1">
      <alignment vertical="center" wrapText="1"/>
    </xf>
    <xf numFmtId="0" fontId="6" fillId="0" borderId="15" xfId="0" applyFont="1" applyBorder="1" applyAlignment="1">
      <alignment vertical="center" wrapText="1"/>
    </xf>
    <xf numFmtId="0" fontId="6" fillId="0" borderId="9" xfId="0" applyFont="1" applyBorder="1" applyAlignment="1">
      <alignment vertical="center" wrapText="1"/>
    </xf>
    <xf numFmtId="0" fontId="35" fillId="2" borderId="3" xfId="0" applyFont="1" applyFill="1" applyBorder="1" applyAlignment="1">
      <alignment horizontal="center"/>
    </xf>
    <xf numFmtId="0" fontId="35" fillId="2" borderId="4" xfId="0" applyFont="1" applyFill="1" applyBorder="1" applyAlignment="1">
      <alignment horizontal="center"/>
    </xf>
    <xf numFmtId="0" fontId="17" fillId="0" borderId="10" xfId="0" applyFont="1" applyBorder="1" applyAlignment="1">
      <alignment vertical="center" wrapText="1"/>
    </xf>
    <xf numFmtId="0" fontId="17" fillId="0" borderId="9" xfId="0" applyFont="1" applyBorder="1" applyAlignment="1">
      <alignment vertical="center" wrapText="1"/>
    </xf>
    <xf numFmtId="0" fontId="33" fillId="2" borderId="10" xfId="0" applyFont="1" applyFill="1" applyBorder="1" applyAlignment="1">
      <alignment horizontal="center"/>
    </xf>
    <xf numFmtId="0" fontId="33" fillId="2" borderId="9" xfId="0" applyFont="1" applyFill="1" applyBorder="1" applyAlignment="1">
      <alignment horizontal="center"/>
    </xf>
    <xf numFmtId="43" fontId="39" fillId="0" borderId="10" xfId="1" applyFont="1" applyBorder="1" applyAlignment="1">
      <alignment horizontal="center" vertical="center" wrapText="1"/>
    </xf>
    <xf numFmtId="43" fontId="39" fillId="0" borderId="15" xfId="1" applyFont="1" applyBorder="1" applyAlignment="1">
      <alignment horizontal="center" vertical="center" wrapText="1"/>
    </xf>
    <xf numFmtId="43" fontId="39" fillId="0" borderId="9" xfId="1" applyFont="1" applyBorder="1" applyAlignment="1">
      <alignment horizontal="center" vertical="center" wrapText="1"/>
    </xf>
    <xf numFmtId="0" fontId="6" fillId="0" borderId="1" xfId="0" applyFont="1" applyBorder="1" applyAlignment="1">
      <alignment vertical="center" wrapText="1"/>
    </xf>
    <xf numFmtId="0" fontId="3" fillId="0" borderId="10" xfId="0" applyFont="1" applyBorder="1" applyAlignment="1">
      <alignment vertical="center"/>
    </xf>
    <xf numFmtId="0" fontId="3" fillId="0" borderId="9" xfId="0" applyFont="1" applyBorder="1" applyAlignment="1">
      <alignment vertical="center"/>
    </xf>
    <xf numFmtId="0" fontId="2" fillId="0" borderId="10" xfId="0" applyFont="1" applyBorder="1" applyAlignment="1">
      <alignment horizontal="center" vertical="center"/>
    </xf>
    <xf numFmtId="0" fontId="2" fillId="0" borderId="9" xfId="0" applyFont="1" applyBorder="1" applyAlignment="1">
      <alignment horizontal="center" vertical="center"/>
    </xf>
    <xf numFmtId="0" fontId="57" fillId="2" borderId="10" xfId="0" applyFont="1" applyFill="1" applyBorder="1" applyAlignment="1">
      <alignment horizontal="center" vertical="center"/>
    </xf>
    <xf numFmtId="0" fontId="57" fillId="2" borderId="9" xfId="0" applyFont="1" applyFill="1" applyBorder="1" applyAlignment="1">
      <alignment horizontal="center" vertical="center"/>
    </xf>
    <xf numFmtId="0" fontId="17" fillId="0" borderId="10" xfId="0" applyFont="1" applyBorder="1" applyAlignment="1">
      <alignment horizontal="left" vertical="center" wrapText="1" indent="1"/>
    </xf>
    <xf numFmtId="0" fontId="17" fillId="0" borderId="9" xfId="0" applyFont="1" applyBorder="1" applyAlignment="1">
      <alignment horizontal="left" vertical="center" wrapText="1" indent="1"/>
    </xf>
    <xf numFmtId="0" fontId="58" fillId="2" borderId="10" xfId="0" applyFont="1" applyFill="1" applyBorder="1" applyAlignment="1">
      <alignment horizontal="center"/>
    </xf>
    <xf numFmtId="0" fontId="58" fillId="2" borderId="9" xfId="0" applyFont="1" applyFill="1" applyBorder="1" applyAlignment="1">
      <alignment horizontal="center"/>
    </xf>
    <xf numFmtId="0" fontId="31" fillId="0" borderId="10" xfId="0" applyFont="1" applyBorder="1" applyAlignment="1">
      <alignment horizontal="left" vertical="center"/>
    </xf>
    <xf numFmtId="0" fontId="31" fillId="0" borderId="9" xfId="0" applyFont="1" applyBorder="1" applyAlignment="1">
      <alignment horizontal="left" vertical="center"/>
    </xf>
    <xf numFmtId="0" fontId="33" fillId="0" borderId="0" xfId="0" applyFont="1" applyAlignment="1">
      <alignment horizontal="center" vertical="center" wrapText="1"/>
    </xf>
    <xf numFmtId="169" fontId="40" fillId="0" borderId="1" xfId="0" applyNumberFormat="1" applyFont="1" applyBorder="1" applyAlignment="1">
      <alignment horizontal="center" vertical="center" wrapText="1"/>
    </xf>
    <xf numFmtId="0" fontId="40"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14" xfId="0" applyFont="1" applyBorder="1" applyAlignment="1">
      <alignment horizontal="center" vertical="center" wrapText="1"/>
    </xf>
    <xf numFmtId="0" fontId="33" fillId="0" borderId="13" xfId="0" applyFont="1" applyBorder="1" applyAlignment="1">
      <alignment horizontal="center" vertical="center" wrapText="1"/>
    </xf>
    <xf numFmtId="43" fontId="33" fillId="0" borderId="0" xfId="1" applyFont="1" applyBorder="1" applyAlignment="1">
      <alignment horizontal="center" vertical="center" wrapText="1"/>
    </xf>
    <xf numFmtId="0" fontId="33" fillId="0" borderId="14" xfId="0" quotePrefix="1" applyFont="1" applyBorder="1" applyAlignment="1">
      <alignment horizontal="center" vertical="center" wrapText="1"/>
    </xf>
    <xf numFmtId="43" fontId="33" fillId="0" borderId="11" xfId="1" applyFont="1" applyBorder="1" applyAlignment="1">
      <alignment horizontal="center" vertical="center" wrapText="1"/>
    </xf>
    <xf numFmtId="43" fontId="33" fillId="0" borderId="6" xfId="1" applyFont="1" applyBorder="1" applyAlignment="1">
      <alignment horizontal="center" vertical="center" wrapText="1"/>
    </xf>
    <xf numFmtId="0" fontId="83" fillId="9" borderId="11" xfId="0" applyFont="1" applyFill="1" applyBorder="1" applyAlignment="1">
      <alignment horizontal="center"/>
    </xf>
    <xf numFmtId="0" fontId="83" fillId="9" borderId="0" xfId="0" applyFont="1" applyFill="1" applyAlignment="1">
      <alignment horizontal="center"/>
    </xf>
    <xf numFmtId="0" fontId="33" fillId="0" borderId="1" xfId="0" applyFont="1" applyBorder="1" applyAlignment="1">
      <alignment horizontal="left"/>
    </xf>
    <xf numFmtId="43" fontId="33" fillId="0" borderId="14" xfId="0" applyNumberFormat="1" applyFont="1" applyBorder="1" applyAlignment="1">
      <alignment horizontal="center" vertical="center" wrapText="1"/>
    </xf>
    <xf numFmtId="0" fontId="83" fillId="8" borderId="1" xfId="0" applyFont="1" applyFill="1" applyBorder="1" applyAlignment="1">
      <alignment horizontal="center" vertical="center" wrapText="1"/>
    </xf>
    <xf numFmtId="0" fontId="84" fillId="11" borderId="7" xfId="2" applyFont="1" applyFill="1" applyBorder="1" applyAlignment="1">
      <alignment horizontal="center" vertical="center" wrapText="1"/>
    </xf>
    <xf numFmtId="0" fontId="84" fillId="11" borderId="8" xfId="2" applyFont="1" applyFill="1" applyBorder="1" applyAlignment="1">
      <alignment horizontal="center" vertical="center" wrapText="1"/>
    </xf>
    <xf numFmtId="0" fontId="84" fillId="11" borderId="11" xfId="2" applyFont="1" applyFill="1" applyBorder="1" applyAlignment="1">
      <alignment horizontal="center" vertical="center" wrapText="1"/>
    </xf>
    <xf numFmtId="0" fontId="84" fillId="11" borderId="0" xfId="2" applyFont="1" applyFill="1" applyAlignment="1">
      <alignment horizontal="center" vertical="center" wrapText="1"/>
    </xf>
    <xf numFmtId="0" fontId="84" fillId="11" borderId="12" xfId="2" applyFont="1" applyFill="1" applyBorder="1" applyAlignment="1">
      <alignment horizontal="center" vertical="center" wrapText="1"/>
    </xf>
    <xf numFmtId="0" fontId="16" fillId="0" borderId="9" xfId="2" applyFont="1" applyBorder="1" applyAlignment="1">
      <alignment horizontal="left" vertical="center" wrapText="1"/>
    </xf>
    <xf numFmtId="0" fontId="17" fillId="2" borderId="10" xfId="2" applyFont="1" applyFill="1" applyBorder="1" applyAlignment="1">
      <alignment horizontal="center"/>
    </xf>
    <xf numFmtId="0" fontId="17" fillId="2" borderId="15" xfId="2" applyFont="1" applyFill="1" applyBorder="1" applyAlignment="1">
      <alignment horizontal="center"/>
    </xf>
    <xf numFmtId="0" fontId="17" fillId="2" borderId="9" xfId="2" applyFont="1" applyFill="1" applyBorder="1" applyAlignment="1">
      <alignment horizontal="center"/>
    </xf>
    <xf numFmtId="0" fontId="17" fillId="2" borderId="1" xfId="2" applyFont="1" applyFill="1" applyBorder="1" applyAlignment="1">
      <alignment horizontal="center"/>
    </xf>
    <xf numFmtId="0" fontId="26" fillId="0" borderId="10" xfId="0" applyFont="1" applyBorder="1" applyAlignment="1">
      <alignment horizontal="center"/>
    </xf>
    <xf numFmtId="0" fontId="26" fillId="0" borderId="15" xfId="0" applyFont="1" applyBorder="1" applyAlignment="1">
      <alignment horizontal="center"/>
    </xf>
    <xf numFmtId="3" fontId="16" fillId="2" borderId="10" xfId="2" applyNumberFormat="1" applyFont="1" applyFill="1" applyBorder="1" applyAlignment="1">
      <alignment horizontal="center"/>
    </xf>
    <xf numFmtId="0" fontId="16" fillId="2" borderId="15" xfId="2" applyFont="1" applyFill="1" applyBorder="1" applyAlignment="1">
      <alignment horizontal="center"/>
    </xf>
    <xf numFmtId="0" fontId="16" fillId="2" borderId="9" xfId="2" applyFont="1" applyFill="1" applyBorder="1" applyAlignment="1">
      <alignment horizontal="center"/>
    </xf>
    <xf numFmtId="0" fontId="17" fillId="2" borderId="1" xfId="2" quotePrefix="1" applyFont="1" applyFill="1" applyBorder="1" applyAlignment="1">
      <alignment horizontal="center"/>
    </xf>
    <xf numFmtId="0" fontId="16" fillId="2" borderId="10" xfId="2" applyFont="1" applyFill="1" applyBorder="1" applyAlignment="1">
      <alignment horizontal="center"/>
    </xf>
    <xf numFmtId="1" fontId="17" fillId="2" borderId="1" xfId="2" applyNumberFormat="1" applyFont="1" applyFill="1" applyBorder="1" applyAlignment="1">
      <alignment horizontal="center"/>
    </xf>
    <xf numFmtId="2" fontId="3" fillId="0" borderId="21" xfId="2" quotePrefix="1" applyNumberFormat="1" applyFont="1" applyBorder="1" applyAlignment="1">
      <alignment horizontal="center" vertical="center" wrapText="1"/>
    </xf>
    <xf numFmtId="0" fontId="16" fillId="0" borderId="0" xfId="2" applyFont="1" applyAlignment="1">
      <alignment horizontal="left" vertical="center" wrapText="1"/>
    </xf>
    <xf numFmtId="164" fontId="3" fillId="0" borderId="1" xfId="2" applyNumberFormat="1" applyFont="1" applyBorder="1" applyAlignment="1">
      <alignment horizontal="center" vertical="center" wrapText="1"/>
    </xf>
    <xf numFmtId="2" fontId="3" fillId="0" borderId="1" xfId="2" applyNumberFormat="1" applyFont="1" applyBorder="1" applyAlignment="1">
      <alignment horizontal="center" vertical="center" wrapText="1"/>
    </xf>
    <xf numFmtId="14" fontId="17" fillId="2" borderId="1" xfId="2" applyNumberFormat="1" applyFont="1" applyFill="1" applyBorder="1" applyAlignment="1">
      <alignment horizontal="center" vertical="center" wrapText="1"/>
    </xf>
    <xf numFmtId="0" fontId="61" fillId="0" borderId="1" xfId="2" applyFont="1" applyBorder="1" applyAlignment="1">
      <alignment horizontal="center" vertical="center" wrapText="1"/>
    </xf>
    <xf numFmtId="14" fontId="17" fillId="2" borderId="6" xfId="0" quotePrefix="1" applyNumberFormat="1" applyFont="1" applyFill="1" applyBorder="1" applyAlignment="1">
      <alignment horizontal="center" vertical="center" wrapText="1"/>
    </xf>
    <xf numFmtId="14" fontId="39" fillId="2" borderId="1" xfId="0" applyNumberFormat="1" applyFont="1" applyFill="1" applyBorder="1" applyAlignment="1">
      <alignment horizontal="center" vertical="center" wrapText="1"/>
    </xf>
    <xf numFmtId="0" fontId="55" fillId="11" borderId="7" xfId="2" applyFont="1" applyFill="1" applyBorder="1" applyAlignment="1">
      <alignment horizontal="center" vertical="center" wrapText="1"/>
    </xf>
    <xf numFmtId="0" fontId="16" fillId="0" borderId="4" xfId="2" applyFont="1" applyBorder="1" applyAlignment="1">
      <alignment horizontal="right" vertical="center" wrapText="1"/>
    </xf>
    <xf numFmtId="4" fontId="67" fillId="2" borderId="2" xfId="0" applyNumberFormat="1" applyFont="1" applyFill="1" applyBorder="1" applyAlignment="1">
      <alignment horizontal="right"/>
    </xf>
    <xf numFmtId="0" fontId="55" fillId="11" borderId="15" xfId="2" applyFont="1" applyFill="1" applyBorder="1" applyAlignment="1">
      <alignment horizontal="center" vertical="center" wrapText="1"/>
    </xf>
    <xf numFmtId="0" fontId="55" fillId="11" borderId="9" xfId="2" applyFont="1" applyFill="1" applyBorder="1" applyAlignment="1">
      <alignment horizontal="center" vertical="center" wrapText="1"/>
    </xf>
    <xf numFmtId="9" fontId="85" fillId="8" borderId="8" xfId="3" applyFont="1" applyFill="1" applyBorder="1" applyAlignment="1">
      <alignment horizontal="center" vertical="center" wrapText="1"/>
    </xf>
    <xf numFmtId="9" fontId="85" fillId="8" borderId="13" xfId="3" applyFont="1" applyFill="1" applyBorder="1" applyAlignment="1">
      <alignment horizontal="center" vertical="center" wrapText="1"/>
    </xf>
    <xf numFmtId="0" fontId="31" fillId="0" borderId="1" xfId="0" applyFont="1" applyBorder="1" applyAlignment="1">
      <alignment horizontal="center" vertical="center" wrapText="1"/>
    </xf>
    <xf numFmtId="0" fontId="86" fillId="12" borderId="8" xfId="0" applyFont="1" applyFill="1" applyBorder="1" applyAlignment="1">
      <alignment horizontal="center" vertical="center" wrapText="1"/>
    </xf>
    <xf numFmtId="0" fontId="86" fillId="12" borderId="13" xfId="0" applyFont="1" applyFill="1" applyBorder="1" applyAlignment="1">
      <alignment horizontal="center" vertical="center" wrapText="1"/>
    </xf>
    <xf numFmtId="4" fontId="31" fillId="4" borderId="1" xfId="0" applyNumberFormat="1" applyFont="1" applyFill="1" applyBorder="1" applyAlignment="1">
      <alignment horizontal="center" vertical="center"/>
    </xf>
    <xf numFmtId="10" fontId="31" fillId="4" borderId="1" xfId="3" applyNumberFormat="1" applyFont="1" applyFill="1" applyBorder="1" applyAlignment="1">
      <alignment horizontal="center" vertical="center"/>
    </xf>
    <xf numFmtId="10" fontId="31" fillId="4" borderId="1" xfId="3" quotePrefix="1" applyNumberFormat="1" applyFont="1" applyFill="1" applyBorder="1" applyAlignment="1">
      <alignment horizontal="center" vertical="center"/>
    </xf>
    <xf numFmtId="0" fontId="39" fillId="4" borderId="1" xfId="0" applyFont="1" applyFill="1" applyBorder="1" applyAlignment="1">
      <alignment horizontal="center" vertical="center"/>
    </xf>
    <xf numFmtId="0" fontId="7" fillId="0" borderId="10" xfId="0" applyFont="1" applyBorder="1" applyAlignment="1">
      <alignment horizontal="left" vertical="center" wrapText="1"/>
    </xf>
    <xf numFmtId="4" fontId="3" fillId="4" borderId="1" xfId="0" quotePrefix="1" applyNumberFormat="1" applyFont="1" applyFill="1" applyBorder="1" applyAlignment="1">
      <alignment horizontal="center" vertical="center"/>
    </xf>
    <xf numFmtId="0" fontId="26" fillId="0" borderId="15" xfId="0" applyFont="1" applyBorder="1" applyAlignment="1">
      <alignment horizontal="center" vertical="center" wrapText="1"/>
    </xf>
    <xf numFmtId="0" fontId="87" fillId="12" borderId="15" xfId="0" applyFont="1" applyFill="1" applyBorder="1" applyAlignment="1">
      <alignment horizontal="center" vertical="center" wrapText="1"/>
    </xf>
    <xf numFmtId="4" fontId="31" fillId="4" borderId="1" xfId="0" applyNumberFormat="1" applyFont="1" applyFill="1" applyBorder="1" applyAlignment="1">
      <alignment horizontal="center" vertical="center" wrapText="1"/>
    </xf>
    <xf numFmtId="4" fontId="31" fillId="4" borderId="1" xfId="0" quotePrefix="1" applyNumberFormat="1" applyFont="1" applyFill="1" applyBorder="1" applyAlignment="1">
      <alignment horizontal="center" vertical="center"/>
    </xf>
    <xf numFmtId="10" fontId="3" fillId="4" borderId="1" xfId="3" quotePrefix="1" applyNumberFormat="1" applyFont="1" applyFill="1" applyBorder="1" applyAlignment="1">
      <alignment horizontal="center" vertical="center"/>
    </xf>
    <xf numFmtId="4" fontId="31" fillId="4" borderId="1" xfId="0" quotePrefix="1" applyNumberFormat="1" applyFont="1" applyFill="1" applyBorder="1" applyAlignment="1">
      <alignment horizontal="center" vertical="center"/>
    </xf>
    <xf numFmtId="10" fontId="3" fillId="4" borderId="1" xfId="3" applyNumberFormat="1" applyFont="1" applyFill="1" applyBorder="1" applyAlignment="1">
      <alignment horizontal="center" vertical="center"/>
    </xf>
    <xf numFmtId="0" fontId="3" fillId="0" borderId="15" xfId="0" applyFont="1" applyBorder="1" applyAlignment="1">
      <alignment horizontal="left" vertical="center"/>
    </xf>
    <xf numFmtId="0" fontId="88" fillId="12" borderId="7" xfId="0" applyFont="1" applyFill="1" applyBorder="1" applyAlignment="1">
      <alignment horizontal="center" vertical="center" wrapText="1"/>
    </xf>
    <xf numFmtId="10" fontId="39" fillId="4" borderId="1" xfId="3" applyNumberFormat="1" applyFont="1" applyFill="1" applyBorder="1" applyAlignment="1">
      <alignment horizontal="center" vertical="center"/>
    </xf>
    <xf numFmtId="182" fontId="3" fillId="4" borderId="1" xfId="3" applyNumberFormat="1" applyFont="1" applyFill="1" applyBorder="1" applyAlignment="1">
      <alignment horizontal="center" vertical="center"/>
    </xf>
    <xf numFmtId="0" fontId="89" fillId="4" borderId="10" xfId="0" applyFont="1" applyFill="1" applyBorder="1" applyAlignment="1">
      <alignment horizontal="center"/>
    </xf>
    <xf numFmtId="0" fontId="89" fillId="4" borderId="9" xfId="0" applyFont="1" applyFill="1" applyBorder="1" applyAlignment="1">
      <alignment horizontal="center"/>
    </xf>
    <xf numFmtId="4" fontId="31" fillId="4" borderId="1" xfId="0" applyNumberFormat="1" applyFont="1" applyFill="1" applyBorder="1" applyAlignment="1">
      <alignment horizontal="center" vertical="center"/>
    </xf>
    <xf numFmtId="0" fontId="88" fillId="12" borderId="4" xfId="0" applyFont="1" applyFill="1" applyBorder="1" applyAlignment="1">
      <alignment horizontal="center" vertical="center" wrapText="1"/>
    </xf>
    <xf numFmtId="0" fontId="88" fillId="12" borderId="5" xfId="0" applyFont="1" applyFill="1" applyBorder="1" applyAlignment="1">
      <alignment horizontal="center" vertical="center" wrapText="1"/>
    </xf>
    <xf numFmtId="165" fontId="39" fillId="4" borderId="11" xfId="0" applyNumberFormat="1" applyFont="1" applyFill="1" applyBorder="1" applyAlignment="1">
      <alignment horizontal="center" vertical="center"/>
    </xf>
    <xf numFmtId="4" fontId="31" fillId="4" borderId="6" xfId="0" quotePrefix="1" applyNumberFormat="1" applyFont="1" applyFill="1" applyBorder="1" applyAlignment="1">
      <alignment horizontal="center" vertical="center"/>
    </xf>
    <xf numFmtId="4" fontId="31" fillId="4" borderId="10" xfId="0" applyNumberFormat="1" applyFont="1" applyFill="1" applyBorder="1" applyAlignment="1">
      <alignment horizontal="center" vertical="center"/>
    </xf>
    <xf numFmtId="4" fontId="31" fillId="4" borderId="9" xfId="0" applyNumberFormat="1" applyFont="1" applyFill="1" applyBorder="1" applyAlignment="1">
      <alignment horizontal="center" vertical="center"/>
    </xf>
    <xf numFmtId="4" fontId="31" fillId="4" borderId="10" xfId="0" quotePrefix="1" applyNumberFormat="1" applyFont="1" applyFill="1" applyBorder="1" applyAlignment="1">
      <alignment horizontal="center" vertical="center"/>
    </xf>
    <xf numFmtId="0" fontId="88" fillId="12" borderId="8" xfId="0" applyFont="1" applyFill="1" applyBorder="1" applyAlignment="1">
      <alignment horizontal="center" vertical="center" wrapText="1"/>
    </xf>
    <xf numFmtId="4" fontId="31" fillId="4" borderId="6" xfId="0" applyNumberFormat="1" applyFont="1" applyFill="1" applyBorder="1" applyAlignment="1">
      <alignment horizontal="center" vertical="center"/>
    </xf>
    <xf numFmtId="165" fontId="39" fillId="4" borderId="0" xfId="0" applyNumberFormat="1" applyFont="1" applyFill="1" applyAlignment="1">
      <alignment horizontal="center" vertical="center"/>
    </xf>
    <xf numFmtId="4" fontId="39" fillId="4" borderId="1" xfId="0" applyNumberFormat="1" applyFont="1" applyFill="1" applyBorder="1" applyAlignment="1">
      <alignment horizontal="center" vertical="center"/>
    </xf>
    <xf numFmtId="4" fontId="31" fillId="4" borderId="10" xfId="0" applyNumberFormat="1" applyFont="1" applyFill="1" applyBorder="1" applyAlignment="1">
      <alignment horizontal="center" vertical="center"/>
    </xf>
    <xf numFmtId="4" fontId="51" fillId="2" borderId="1" xfId="0" applyNumberFormat="1" applyFont="1" applyFill="1" applyBorder="1" applyAlignment="1">
      <alignment horizontal="center" vertical="center"/>
    </xf>
    <xf numFmtId="4" fontId="31" fillId="2" borderId="1" xfId="0" applyNumberFormat="1" applyFont="1" applyFill="1" applyBorder="1" applyAlignment="1">
      <alignment horizontal="center" vertical="center"/>
    </xf>
    <xf numFmtId="0" fontId="85" fillId="8" borderId="8" xfId="0" applyFont="1" applyFill="1" applyBorder="1" applyAlignment="1">
      <alignment horizontal="center" vertical="center" wrapText="1"/>
    </xf>
    <xf numFmtId="0" fontId="85" fillId="8" borderId="13" xfId="0" applyFont="1" applyFill="1" applyBorder="1" applyAlignment="1">
      <alignment horizontal="center" vertical="center" wrapText="1"/>
    </xf>
    <xf numFmtId="4" fontId="3" fillId="4" borderId="10" xfId="0" quotePrefix="1" applyNumberFormat="1" applyFont="1" applyFill="1" applyBorder="1" applyAlignment="1">
      <alignment horizontal="center" vertical="center"/>
    </xf>
    <xf numFmtId="4" fontId="3" fillId="4" borderId="9" xfId="0" quotePrefix="1" applyNumberFormat="1" applyFont="1" applyFill="1" applyBorder="1" applyAlignment="1">
      <alignment horizontal="center" vertical="center"/>
    </xf>
    <xf numFmtId="10" fontId="31" fillId="4" borderId="10" xfId="3" quotePrefix="1" applyNumberFormat="1" applyFont="1" applyFill="1" applyBorder="1" applyAlignment="1">
      <alignment horizontal="center" vertical="center"/>
    </xf>
    <xf numFmtId="4" fontId="3" fillId="4" borderId="10" xfId="0" quotePrefix="1" applyNumberFormat="1" applyFont="1" applyFill="1" applyBorder="1" applyAlignment="1">
      <alignment horizontal="center" vertical="center"/>
    </xf>
    <xf numFmtId="4" fontId="3" fillId="4" borderId="9" xfId="0" quotePrefix="1" applyNumberFormat="1" applyFont="1" applyFill="1" applyBorder="1" applyAlignment="1">
      <alignment horizontal="center" vertical="center"/>
    </xf>
    <xf numFmtId="165" fontId="39" fillId="4" borderId="1" xfId="0" applyNumberFormat="1" applyFont="1" applyFill="1" applyBorder="1" applyAlignment="1">
      <alignment horizontal="center" vertical="center"/>
    </xf>
    <xf numFmtId="4" fontId="27" fillId="0" borderId="1" xfId="0" applyNumberFormat="1" applyFont="1" applyBorder="1" applyAlignment="1">
      <alignment horizontal="center"/>
    </xf>
    <xf numFmtId="4" fontId="27" fillId="0" borderId="1" xfId="0" quotePrefix="1" applyNumberFormat="1" applyFont="1" applyBorder="1" applyAlignment="1">
      <alignment horizontal="center"/>
    </xf>
    <xf numFmtId="0" fontId="90" fillId="8" borderId="7" xfId="0" applyFont="1" applyFill="1" applyBorder="1" applyAlignment="1">
      <alignment horizontal="center" vertical="center" wrapText="1"/>
    </xf>
    <xf numFmtId="4" fontId="88" fillId="13" borderId="3" xfId="0" applyNumberFormat="1" applyFont="1" applyFill="1" applyBorder="1" applyAlignment="1">
      <alignment horizontal="center" vertical="center" wrapText="1"/>
    </xf>
    <xf numFmtId="0" fontId="88" fillId="13" borderId="5" xfId="0" applyFont="1" applyFill="1" applyBorder="1" applyAlignment="1">
      <alignment horizontal="center" vertical="center" wrapText="1"/>
    </xf>
    <xf numFmtId="0" fontId="42" fillId="0" borderId="1" xfId="0" quotePrefix="1" applyFont="1" applyBorder="1" applyAlignment="1">
      <alignment horizontal="center" vertical="center" wrapText="1"/>
    </xf>
    <xf numFmtId="0" fontId="42" fillId="0" borderId="1" xfId="0" applyFont="1" applyBorder="1" applyAlignment="1">
      <alignment horizontal="right" vertical="center" wrapText="1"/>
    </xf>
    <xf numFmtId="0" fontId="42" fillId="0" borderId="10" xfId="0" applyFont="1" applyBorder="1" applyAlignment="1">
      <alignment horizontal="right" vertical="center" wrapText="1"/>
    </xf>
    <xf numFmtId="0" fontId="42" fillId="0" borderId="15" xfId="0" applyFont="1" applyBorder="1" applyAlignment="1">
      <alignment horizontal="right" vertical="center" wrapText="1"/>
    </xf>
    <xf numFmtId="0" fontId="42" fillId="0" borderId="9" xfId="0" applyFont="1" applyBorder="1" applyAlignment="1">
      <alignment horizontal="right" vertical="center" wrapText="1"/>
    </xf>
    <xf numFmtId="14" fontId="34" fillId="0" borderId="1" xfId="0" quotePrefix="1" applyNumberFormat="1" applyFont="1" applyBorder="1"/>
    <xf numFmtId="10" fontId="42" fillId="0" borderId="1" xfId="0" quotePrefix="1" applyNumberFormat="1" applyFont="1" applyBorder="1" applyAlignment="1">
      <alignment horizontal="center" vertical="center" wrapText="1"/>
    </xf>
    <xf numFmtId="0" fontId="83" fillId="9" borderId="0" xfId="0" applyFont="1" applyFill="1" applyBorder="1" applyAlignment="1" applyProtection="1">
      <alignment horizontal="center" vertical="center" wrapText="1"/>
      <protection locked="0"/>
    </xf>
    <xf numFmtId="0" fontId="33" fillId="0" borderId="13" xfId="0" applyFont="1" applyBorder="1" applyAlignment="1">
      <alignment horizontal="center"/>
    </xf>
    <xf numFmtId="0" fontId="33" fillId="0" borderId="0" xfId="0" applyFont="1" applyBorder="1" applyAlignment="1">
      <alignment horizontal="center"/>
    </xf>
    <xf numFmtId="0" fontId="33" fillId="0" borderId="0" xfId="0" applyFont="1" applyBorder="1" applyAlignment="1">
      <alignment horizontal="center" vertical="center" wrapText="1"/>
    </xf>
    <xf numFmtId="0" fontId="33" fillId="0" borderId="0" xfId="0" applyFont="1" applyBorder="1"/>
    <xf numFmtId="43" fontId="33" fillId="0" borderId="1" xfId="0" applyNumberFormat="1" applyFont="1" applyBorder="1" applyAlignment="1">
      <alignment horizontal="center" vertical="center" wrapText="1"/>
    </xf>
    <xf numFmtId="0" fontId="33" fillId="0" borderId="1" xfId="0" quotePrefix="1" applyFont="1" applyBorder="1" applyAlignment="1">
      <alignment horizontal="center" vertical="center" wrapText="1"/>
    </xf>
    <xf numFmtId="43" fontId="33" fillId="0" borderId="1" xfId="1" applyFont="1" applyBorder="1" applyAlignment="1">
      <alignment horizontal="center" vertical="center" wrapText="1"/>
    </xf>
    <xf numFmtId="43" fontId="33" fillId="0" borderId="12" xfId="1" applyFont="1" applyBorder="1" applyAlignment="1">
      <alignment horizontal="center" vertical="center" wrapText="1"/>
    </xf>
    <xf numFmtId="43" fontId="33" fillId="0" borderId="8" xfId="1" applyFont="1" applyBorder="1" applyAlignment="1">
      <alignment horizontal="center" vertical="center" wrapText="1"/>
    </xf>
    <xf numFmtId="0" fontId="83" fillId="9" borderId="11" xfId="0" applyFont="1" applyFill="1" applyBorder="1" applyAlignment="1" applyProtection="1">
      <alignment horizontal="center" vertical="center" wrapText="1"/>
      <protection locked="0"/>
    </xf>
    <xf numFmtId="0" fontId="83" fillId="9" borderId="12" xfId="0" applyFont="1" applyFill="1" applyBorder="1" applyAlignment="1" applyProtection="1">
      <alignment horizontal="center" vertical="center" wrapText="1"/>
      <protection locked="0"/>
    </xf>
    <xf numFmtId="0" fontId="33" fillId="0" borderId="11" xfId="0" applyFont="1" applyBorder="1" applyAlignment="1">
      <alignment horizontal="center"/>
    </xf>
    <xf numFmtId="0" fontId="33" fillId="0" borderId="12" xfId="0" applyFont="1" applyBorder="1" applyAlignment="1">
      <alignment horizontal="center"/>
    </xf>
    <xf numFmtId="0" fontId="33" fillId="0" borderId="12" xfId="0" applyFont="1" applyBorder="1"/>
    <xf numFmtId="0" fontId="83" fillId="9" borderId="0" xfId="0" applyFont="1" applyFill="1" applyBorder="1" applyAlignment="1">
      <alignment horizontal="center"/>
    </xf>
    <xf numFmtId="0" fontId="79" fillId="13" borderId="3" xfId="0" applyFont="1" applyFill="1" applyBorder="1" applyAlignment="1" applyProtection="1">
      <alignment horizontal="center" vertical="center" wrapText="1"/>
      <protection locked="0"/>
    </xf>
    <xf numFmtId="0" fontId="79" fillId="13" borderId="4" xfId="0" applyFont="1" applyFill="1" applyBorder="1" applyAlignment="1" applyProtection="1">
      <alignment horizontal="center" vertical="center" wrapText="1"/>
      <protection locked="0"/>
    </xf>
    <xf numFmtId="0" fontId="79" fillId="13" borderId="5" xfId="0" applyFont="1" applyFill="1" applyBorder="1" applyAlignment="1" applyProtection="1">
      <alignment horizontal="center" vertical="center" wrapText="1"/>
      <protection locked="0"/>
    </xf>
    <xf numFmtId="0" fontId="79" fillId="13" borderId="0" xfId="0" applyFont="1" applyFill="1" applyAlignment="1" applyProtection="1">
      <alignment horizontal="center" vertical="center" wrapText="1"/>
      <protection locked="0"/>
    </xf>
  </cellXfs>
  <cellStyles count="5">
    <cellStyle name="Milliers" xfId="1" builtinId="3"/>
    <cellStyle name="Normal" xfId="0" builtinId="0"/>
    <cellStyle name="Normal 2" xfId="4" xr:uid="{FC9990B0-FDDB-406E-B325-AA7D39AD83C2}"/>
    <cellStyle name="Normal_LAMA" xfId="2" xr:uid="{00000000-0005-0000-0000-000002000000}"/>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xdr:col>
      <xdr:colOff>2047875</xdr:colOff>
      <xdr:row>118</xdr:row>
      <xdr:rowOff>9525</xdr:rowOff>
    </xdr:from>
    <xdr:to>
      <xdr:col>5</xdr:col>
      <xdr:colOff>304800</xdr:colOff>
      <xdr:row>120</xdr:row>
      <xdr:rowOff>9525</xdr:rowOff>
    </xdr:to>
    <xdr:cxnSp macro="">
      <xdr:nvCxnSpPr>
        <xdr:cNvPr id="2" name="Connecteur droit avec flèche 1">
          <a:extLst>
            <a:ext uri="{FF2B5EF4-FFF2-40B4-BE49-F238E27FC236}">
              <a16:creationId xmlns:a16="http://schemas.microsoft.com/office/drawing/2014/main" id="{00000000-0008-0000-0200-000002000000}"/>
            </a:ext>
          </a:extLst>
        </xdr:cNvPr>
        <xdr:cNvCxnSpPr/>
      </xdr:nvCxnSpPr>
      <xdr:spPr>
        <a:xfrm flipV="1">
          <a:off x="6467475" y="120300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2047875</xdr:colOff>
      <xdr:row>117</xdr:row>
      <xdr:rowOff>9525</xdr:rowOff>
    </xdr:from>
    <xdr:to>
      <xdr:col>5</xdr:col>
      <xdr:colOff>304800</xdr:colOff>
      <xdr:row>119</xdr:row>
      <xdr:rowOff>9525</xdr:rowOff>
    </xdr:to>
    <xdr:cxnSp macro="">
      <xdr:nvCxnSpPr>
        <xdr:cNvPr id="3" name="Connecteur droit avec flèche 2">
          <a:extLst>
            <a:ext uri="{FF2B5EF4-FFF2-40B4-BE49-F238E27FC236}">
              <a16:creationId xmlns:a16="http://schemas.microsoft.com/office/drawing/2014/main" id="{00000000-0008-0000-0200-000003000000}"/>
            </a:ext>
          </a:extLst>
        </xdr:cNvPr>
        <xdr:cNvCxnSpPr/>
      </xdr:nvCxnSpPr>
      <xdr:spPr>
        <a:xfrm flipV="1">
          <a:off x="6467475" y="11420475"/>
          <a:ext cx="304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862176</xdr:colOff>
      <xdr:row>5</xdr:row>
      <xdr:rowOff>32845</xdr:rowOff>
    </xdr:from>
    <xdr:to>
      <xdr:col>1</xdr:col>
      <xdr:colOff>862176</xdr:colOff>
      <xdr:row>6</xdr:row>
      <xdr:rowOff>147801</xdr:rowOff>
    </xdr:to>
    <xdr:cxnSp macro="">
      <xdr:nvCxnSpPr>
        <xdr:cNvPr id="2" name="Connecteur droit avec flèche 1">
          <a:extLst>
            <a:ext uri="{FF2B5EF4-FFF2-40B4-BE49-F238E27FC236}">
              <a16:creationId xmlns:a16="http://schemas.microsoft.com/office/drawing/2014/main" id="{00000000-0008-0000-0700-000002000000}"/>
            </a:ext>
          </a:extLst>
        </xdr:cNvPr>
        <xdr:cNvCxnSpPr/>
      </xdr:nvCxnSpPr>
      <xdr:spPr>
        <a:xfrm>
          <a:off x="1043151" y="1413970"/>
          <a:ext cx="0" cy="30545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484910</xdr:colOff>
      <xdr:row>5</xdr:row>
      <xdr:rowOff>34636</xdr:rowOff>
    </xdr:from>
    <xdr:to>
      <xdr:col>6</xdr:col>
      <xdr:colOff>95250</xdr:colOff>
      <xdr:row>6</xdr:row>
      <xdr:rowOff>95250</xdr:rowOff>
    </xdr:to>
    <xdr:cxnSp macro="">
      <xdr:nvCxnSpPr>
        <xdr:cNvPr id="4" name="Connecteur droit avec flèche 3">
          <a:extLst>
            <a:ext uri="{FF2B5EF4-FFF2-40B4-BE49-F238E27FC236}">
              <a16:creationId xmlns:a16="http://schemas.microsoft.com/office/drawing/2014/main" id="{00000000-0008-0000-0700-000004000000}"/>
            </a:ext>
          </a:extLst>
        </xdr:cNvPr>
        <xdr:cNvCxnSpPr/>
      </xdr:nvCxnSpPr>
      <xdr:spPr>
        <a:xfrm>
          <a:off x="6433705" y="987136"/>
          <a:ext cx="372340" cy="251114"/>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588819</xdr:colOff>
      <xdr:row>11</xdr:row>
      <xdr:rowOff>95250</xdr:rowOff>
    </xdr:from>
    <xdr:to>
      <xdr:col>8</xdr:col>
      <xdr:colOff>190500</xdr:colOff>
      <xdr:row>12</xdr:row>
      <xdr:rowOff>51954</xdr:rowOff>
    </xdr:to>
    <xdr:cxnSp macro="">
      <xdr:nvCxnSpPr>
        <xdr:cNvPr id="6" name="Connecteur droit avec flèche 5">
          <a:extLst>
            <a:ext uri="{FF2B5EF4-FFF2-40B4-BE49-F238E27FC236}">
              <a16:creationId xmlns:a16="http://schemas.microsoft.com/office/drawing/2014/main" id="{00000000-0008-0000-0700-000006000000}"/>
            </a:ext>
          </a:extLst>
        </xdr:cNvPr>
        <xdr:cNvCxnSpPr/>
      </xdr:nvCxnSpPr>
      <xdr:spPr>
        <a:xfrm flipH="1">
          <a:off x="8061614" y="2320636"/>
          <a:ext cx="363681" cy="27709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225137</xdr:colOff>
      <xdr:row>11</xdr:row>
      <xdr:rowOff>129887</xdr:rowOff>
    </xdr:from>
    <xdr:to>
      <xdr:col>8</xdr:col>
      <xdr:colOff>502228</xdr:colOff>
      <xdr:row>12</xdr:row>
      <xdr:rowOff>95250</xdr:rowOff>
    </xdr:to>
    <xdr:cxnSp macro="">
      <xdr:nvCxnSpPr>
        <xdr:cNvPr id="8" name="Connecteur droit avec flèche 7">
          <a:extLst>
            <a:ext uri="{FF2B5EF4-FFF2-40B4-BE49-F238E27FC236}">
              <a16:creationId xmlns:a16="http://schemas.microsoft.com/office/drawing/2014/main" id="{00000000-0008-0000-0700-000008000000}"/>
            </a:ext>
          </a:extLst>
        </xdr:cNvPr>
        <xdr:cNvCxnSpPr/>
      </xdr:nvCxnSpPr>
      <xdr:spPr>
        <a:xfrm>
          <a:off x="8459932" y="2355273"/>
          <a:ext cx="277091" cy="2857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Bienvenue\Desktop\EXCEL%20POUR%20LA%20PAIE\MAQUETTE\TRAMES%20A%20REALISER.xlsm" TargetMode="External"/><Relationship Id="rId1" Type="http://schemas.openxmlformats.org/officeDocument/2006/relationships/externalLinkPath" Target="file:///C:\Users\Bienvenue\Desktop\EXCEL%20POUR%20LA%20PAIE\MAQUETTE\TRAMES%20A%20REALISER.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https://d.docs.live.net/fa77d33fea66a78b/Desktop/1%20PAIE%202025/LIVRE%202025/CHAPITRE%202/TRAVAIL%20CHAPITRE%202%20DEF%201.xlsx" TargetMode="External"/><Relationship Id="rId1" Type="http://schemas.openxmlformats.org/officeDocument/2006/relationships/externalLinkPath" Target="/fa77d33fea66a78b/Desktop/1%20PAIE%202025/LIVRE%202025/CHAPITRE%202/TRAVAIL%20CHAPITRE%202%20DEF%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noncé"/>
      <sheetName val="Table des Taux 2023"/>
      <sheetName val="Masque de Saisie"/>
      <sheetName val="BP Version Janvier 2023"/>
      <sheetName val="BP Format Juillet 2023"/>
      <sheetName val="Feuille de Contrôle "/>
      <sheetName val="Heures Supplémentaires"/>
      <sheetName val="Red. Gen. de Cot. Janv"/>
      <sheetName val="Red. Gen. de  Cot. Mois  Isolé"/>
      <sheetName val="TR Matrice Cotisations "/>
      <sheetName val="Taux Neutre"/>
      <sheetName val="Feuille de Contrôle Vierge "/>
      <sheetName val="TR Matrice Net Imposable"/>
      <sheetName val="Matrice IJSS Maladie"/>
      <sheetName val="Matrice IJSS Maternité"/>
      <sheetName val="Matrice IJSS AT"/>
      <sheetName val="Matrice Val Abs"/>
      <sheetName val="TRAME VIERGE BP JANVIER 2023"/>
      <sheetName val="TRAME VIERGE JUILLET 2023 "/>
      <sheetName val="calcul HEURES SUP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PERIODE DE PAIE 2025"/>
      <sheetName val="TABLE DES TAUX 2025 "/>
      <sheetName val="TRAME DE BP "/>
      <sheetName val="TRAVAIL 2 "/>
      <sheetName val="Feuil1"/>
    </sheetNames>
    <sheetDataSet>
      <sheetData sheetId="0" refreshError="1"/>
      <sheetData sheetId="1">
        <row r="1">
          <cell r="A1" t="str">
            <v>Libellé</v>
          </cell>
          <cell r="C1" t="str">
            <v>Cotisations 
salariales</v>
          </cell>
          <cell r="D1" t="str">
            <v>Cotisations 
patronales</v>
          </cell>
        </row>
        <row r="2">
          <cell r="A2" t="str">
            <v xml:space="preserve">Cotisations et Contributions Obligatoires </v>
          </cell>
        </row>
        <row r="3">
          <cell r="A3" t="str">
            <v>Sécurité sociale Maladie Maternité Invalidité Décés 1.</v>
          </cell>
          <cell r="D3">
            <v>7.0000000000000007E-2</v>
          </cell>
        </row>
        <row r="4">
          <cell r="A4" t="str">
            <v xml:space="preserve">Sécurité sociale Maladie Maternité Invalidité Décés 2. </v>
          </cell>
          <cell r="D4">
            <v>0.06</v>
          </cell>
        </row>
        <row r="5">
          <cell r="A5" t="str">
            <v xml:space="preserve">Mutuelle Cadres </v>
          </cell>
          <cell r="C5">
            <v>1.12E-2</v>
          </cell>
          <cell r="D5">
            <v>1.6799999999999999E-2</v>
          </cell>
        </row>
        <row r="6">
          <cell r="A6" t="str">
            <v>Assurance décés des cadres  (TA)</v>
          </cell>
          <cell r="D6">
            <v>1.4999999999999999E-2</v>
          </cell>
        </row>
        <row r="7">
          <cell r="A7" t="str">
            <v xml:space="preserve">Mutuelle Non Cadres </v>
          </cell>
          <cell r="C7">
            <v>0.01</v>
          </cell>
          <cell r="D7">
            <v>1.7999999999999999E-2</v>
          </cell>
        </row>
      </sheetData>
      <sheetData sheetId="2" refreshError="1"/>
      <sheetData sheetId="3" refreshError="1"/>
      <sheetData sheetId="4" refreshError="1"/>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omments" Target="../comments9.xml"/><Relationship Id="rId1" Type="http://schemas.openxmlformats.org/officeDocument/2006/relationships/vmlDrawing" Target="../drawings/vmlDrawing9.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62B2D6-73B9-40CE-ABEC-FF79D86089C9}">
  <dimension ref="B3:C10"/>
  <sheetViews>
    <sheetView topLeftCell="A4" workbookViewId="0">
      <selection activeCell="B10" sqref="B10"/>
    </sheetView>
  </sheetViews>
  <sheetFormatPr baseColWidth="10" defaultRowHeight="18" x14ac:dyDescent="0.35"/>
  <cols>
    <col min="1" max="16384" width="11.5546875" style="528"/>
  </cols>
  <sheetData>
    <row r="3" spans="2:3" x14ac:dyDescent="0.35">
      <c r="B3" s="528" t="s">
        <v>553</v>
      </c>
    </row>
    <row r="5" spans="2:3" x14ac:dyDescent="0.35">
      <c r="B5" s="528" t="s">
        <v>554</v>
      </c>
    </row>
    <row r="7" spans="2:3" x14ac:dyDescent="0.35">
      <c r="C7" s="528" t="s">
        <v>552</v>
      </c>
    </row>
    <row r="8" spans="2:3" x14ac:dyDescent="0.35">
      <c r="C8" s="528" t="s">
        <v>555</v>
      </c>
    </row>
    <row r="10" spans="2:3" x14ac:dyDescent="0.35">
      <c r="B10" s="528" t="s">
        <v>556</v>
      </c>
    </row>
  </sheetData>
  <printOptions horizontalCentered="1" verticalCentered="1"/>
  <pageMargins left="0.11811023622047245" right="0.11811023622047245" top="0.15748031496062992" bottom="0.15748031496062992" header="0.31496062992125984" footer="0.31496062992125984"/>
  <pageSetup paperSize="9" scale="80" orientation="landscape" horizontalDpi="4294967293" verticalDpi="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145"/>
  <sheetViews>
    <sheetView topLeftCell="A130" zoomScale="125" zoomScaleNormal="130" workbookViewId="0">
      <selection activeCell="A146" sqref="A146"/>
    </sheetView>
  </sheetViews>
  <sheetFormatPr baseColWidth="10" defaultRowHeight="14.4" x14ac:dyDescent="0.3"/>
  <cols>
    <col min="1" max="1" width="14.88671875" customWidth="1"/>
    <col min="2" max="2" width="13.33203125" customWidth="1"/>
    <col min="3" max="3" width="12.5546875" customWidth="1"/>
    <col min="4" max="4" width="16.109375" style="52" customWidth="1"/>
    <col min="5" max="5" width="15" customWidth="1"/>
    <col min="6" max="6" width="14.109375" customWidth="1"/>
    <col min="7" max="7" width="12.6640625" customWidth="1"/>
    <col min="8" max="8" width="16.5546875" customWidth="1"/>
    <col min="9" max="9" width="14.5546875" customWidth="1"/>
    <col min="10" max="10" width="12.6640625" customWidth="1"/>
    <col min="11" max="11" width="15.44140625" bestFit="1" customWidth="1"/>
    <col min="12" max="12" width="14.33203125" hidden="1" customWidth="1"/>
    <col min="13" max="13" width="12" hidden="1" customWidth="1"/>
    <col min="14" max="14" width="12.109375" hidden="1" customWidth="1"/>
    <col min="15" max="15" width="10.109375" hidden="1" customWidth="1"/>
    <col min="16" max="18" width="10.88671875" hidden="1" customWidth="1"/>
    <col min="19" max="19" width="9.5546875" hidden="1" customWidth="1"/>
    <col min="20" max="20" width="10.109375" hidden="1" customWidth="1"/>
    <col min="21" max="21" width="10" hidden="1" customWidth="1"/>
    <col min="22" max="22" width="12.109375" hidden="1" customWidth="1"/>
    <col min="23" max="31" width="0" hidden="1" customWidth="1"/>
    <col min="32" max="32" width="11.44140625" hidden="1" customWidth="1"/>
    <col min="33" max="33" width="0" hidden="1" customWidth="1"/>
  </cols>
  <sheetData>
    <row r="1" spans="1:16" ht="20.25" hidden="1" customHeight="1" x14ac:dyDescent="0.3">
      <c r="A1" t="s">
        <v>120</v>
      </c>
    </row>
    <row r="2" spans="1:16" s="65" customFormat="1" ht="26.25" hidden="1" customHeight="1" x14ac:dyDescent="0.2">
      <c r="A2" s="70" t="s">
        <v>90</v>
      </c>
      <c r="B2" s="70" t="s">
        <v>121</v>
      </c>
      <c r="C2" s="70" t="s">
        <v>122</v>
      </c>
      <c r="D2" s="70" t="s">
        <v>123</v>
      </c>
      <c r="E2" s="70" t="s">
        <v>124</v>
      </c>
      <c r="F2" s="70"/>
      <c r="G2" s="70"/>
      <c r="H2" s="70"/>
      <c r="I2" s="70"/>
      <c r="J2" s="70"/>
      <c r="K2" s="70" t="s">
        <v>125</v>
      </c>
      <c r="L2" s="70" t="s">
        <v>126</v>
      </c>
      <c r="M2" s="70" t="s">
        <v>127</v>
      </c>
      <c r="N2" s="70" t="s">
        <v>128</v>
      </c>
      <c r="O2" s="70" t="s">
        <v>129</v>
      </c>
      <c r="P2" s="70" t="s">
        <v>130</v>
      </c>
    </row>
    <row r="3" spans="1:16" s="58" customFormat="1" ht="20.25" hidden="1" customHeight="1" x14ac:dyDescent="0.25">
      <c r="A3" s="66" t="s">
        <v>109</v>
      </c>
      <c r="B3" s="71">
        <v>4910.7999999999993</v>
      </c>
      <c r="C3" s="72">
        <v>3428</v>
      </c>
      <c r="D3" s="73">
        <f>C3</f>
        <v>3428</v>
      </c>
      <c r="E3" s="73">
        <f>B3</f>
        <v>4910.7999999999993</v>
      </c>
      <c r="F3" s="73"/>
      <c r="G3" s="73"/>
      <c r="H3" s="73"/>
      <c r="I3" s="73"/>
      <c r="J3" s="73"/>
      <c r="K3" s="73">
        <f t="shared" ref="K3:K14" si="0">MIN(D3,E3)</f>
        <v>3428</v>
      </c>
      <c r="L3" s="73">
        <f>K3</f>
        <v>3428</v>
      </c>
      <c r="M3" s="73">
        <f>IF(E3&gt;D3,IF((E3-D3)&gt;3*D3,3*D3,E3-D3),0)</f>
        <v>1482.7999999999993</v>
      </c>
      <c r="N3" s="73">
        <f>M3</f>
        <v>1482.7999999999993</v>
      </c>
      <c r="O3" s="73">
        <f>IF(E3&gt;8*D3,7*D3,IF(E3&lt;D3,0,E3-D3))</f>
        <v>1482.7999999999993</v>
      </c>
      <c r="P3" s="73">
        <f>O3</f>
        <v>1482.7999999999993</v>
      </c>
    </row>
    <row r="4" spans="1:16" s="58" customFormat="1" ht="20.25" hidden="1" customHeight="1" x14ac:dyDescent="0.25">
      <c r="A4" s="66" t="s">
        <v>131</v>
      </c>
      <c r="B4" s="71">
        <v>0</v>
      </c>
      <c r="C4" s="72">
        <v>0</v>
      </c>
      <c r="D4" s="73">
        <f>D3+C4</f>
        <v>3428</v>
      </c>
      <c r="E4" s="73">
        <f>E3+B4</f>
        <v>4910.7999999999993</v>
      </c>
      <c r="F4" s="73"/>
      <c r="G4" s="73"/>
      <c r="H4" s="73"/>
      <c r="I4" s="73"/>
      <c r="J4" s="73"/>
      <c r="K4" s="73">
        <f t="shared" si="0"/>
        <v>3428</v>
      </c>
      <c r="L4" s="73">
        <f t="shared" ref="L4:L14" si="1">K4-K3</f>
        <v>0</v>
      </c>
      <c r="M4" s="73">
        <f t="shared" ref="M4:M14" si="2">IF(E4&gt;D4,IF((E4-D4)&gt;3*D4,3*D4,E4-D4),0)</f>
        <v>1482.7999999999993</v>
      </c>
      <c r="N4" s="73">
        <f t="shared" ref="N4:N14" si="3">M4-M3</f>
        <v>0</v>
      </c>
      <c r="O4" s="73">
        <f>IF(E4&gt;8*D4,7*D4,IF(E4&lt;D4,0,E4-D4))</f>
        <v>1482.7999999999993</v>
      </c>
      <c r="P4" s="73">
        <f t="shared" ref="P4:P14" si="4">O4-O3</f>
        <v>0</v>
      </c>
    </row>
    <row r="5" spans="1:16" s="58" customFormat="1" ht="20.25" hidden="1" customHeight="1" x14ac:dyDescent="0.25">
      <c r="A5" s="66" t="s">
        <v>110</v>
      </c>
      <c r="B5" s="71" t="e">
        <v>#DIV/0!</v>
      </c>
      <c r="C5" s="72">
        <v>0</v>
      </c>
      <c r="D5" s="73">
        <f>D4+C5</f>
        <v>3428</v>
      </c>
      <c r="E5" s="73" t="e">
        <f>E4+B5</f>
        <v>#DIV/0!</v>
      </c>
      <c r="F5" s="73"/>
      <c r="G5" s="73"/>
      <c r="H5" s="73"/>
      <c r="I5" s="73"/>
      <c r="J5" s="73"/>
      <c r="K5" s="73" t="e">
        <f t="shared" si="0"/>
        <v>#DIV/0!</v>
      </c>
      <c r="L5" s="73" t="e">
        <f t="shared" si="1"/>
        <v>#DIV/0!</v>
      </c>
      <c r="M5" s="73" t="e">
        <f t="shared" si="2"/>
        <v>#DIV/0!</v>
      </c>
      <c r="N5" s="73" t="e">
        <f t="shared" si="3"/>
        <v>#DIV/0!</v>
      </c>
      <c r="O5" s="73" t="e">
        <f t="shared" ref="O5:O14" si="5">IF(E5&gt;8*D5,7*D5,IF(E5&lt;D5,0,E5-D5))</f>
        <v>#DIV/0!</v>
      </c>
      <c r="P5" s="73" t="e">
        <f t="shared" si="4"/>
        <v>#DIV/0!</v>
      </c>
    </row>
    <row r="6" spans="1:16" s="58" customFormat="1" ht="20.25" hidden="1" customHeight="1" x14ac:dyDescent="0.25">
      <c r="A6" s="66" t="s">
        <v>132</v>
      </c>
      <c r="B6" s="71" t="e">
        <v>#DIV/0!</v>
      </c>
      <c r="C6" s="72">
        <v>0</v>
      </c>
      <c r="D6" s="73">
        <f>D5+C6</f>
        <v>3428</v>
      </c>
      <c r="E6" s="73" t="e">
        <f>E5+B6</f>
        <v>#DIV/0!</v>
      </c>
      <c r="F6" s="73"/>
      <c r="G6" s="73"/>
      <c r="H6" s="73"/>
      <c r="I6" s="73"/>
      <c r="J6" s="73"/>
      <c r="K6" s="73" t="e">
        <f t="shared" si="0"/>
        <v>#DIV/0!</v>
      </c>
      <c r="L6" s="73" t="e">
        <f t="shared" si="1"/>
        <v>#DIV/0!</v>
      </c>
      <c r="M6" s="73" t="e">
        <f t="shared" si="2"/>
        <v>#DIV/0!</v>
      </c>
      <c r="N6" s="73" t="e">
        <f t="shared" si="3"/>
        <v>#DIV/0!</v>
      </c>
      <c r="O6" s="73" t="e">
        <f t="shared" si="5"/>
        <v>#DIV/0!</v>
      </c>
      <c r="P6" s="73" t="e">
        <f t="shared" si="4"/>
        <v>#DIV/0!</v>
      </c>
    </row>
    <row r="7" spans="1:16" s="58" customFormat="1" ht="20.25" hidden="1" customHeight="1" x14ac:dyDescent="0.25">
      <c r="A7" s="66" t="s">
        <v>113</v>
      </c>
      <c r="B7" s="71" t="e">
        <v>#DIV/0!</v>
      </c>
      <c r="C7" s="72">
        <v>0</v>
      </c>
      <c r="D7" s="73">
        <f t="shared" ref="D7:D14" si="6">D6+C7</f>
        <v>3428</v>
      </c>
      <c r="E7" s="73" t="e">
        <f t="shared" ref="E7:E14" si="7">E6+B7</f>
        <v>#DIV/0!</v>
      </c>
      <c r="F7" s="73"/>
      <c r="G7" s="73"/>
      <c r="H7" s="73"/>
      <c r="I7" s="73"/>
      <c r="J7" s="73"/>
      <c r="K7" s="73" t="e">
        <f t="shared" si="0"/>
        <v>#DIV/0!</v>
      </c>
      <c r="L7" s="73" t="e">
        <f t="shared" si="1"/>
        <v>#DIV/0!</v>
      </c>
      <c r="M7" s="73" t="e">
        <f t="shared" si="2"/>
        <v>#DIV/0!</v>
      </c>
      <c r="N7" s="73" t="e">
        <f t="shared" si="3"/>
        <v>#DIV/0!</v>
      </c>
      <c r="O7" s="73" t="e">
        <f t="shared" si="5"/>
        <v>#DIV/0!</v>
      </c>
      <c r="P7" s="73" t="e">
        <f t="shared" si="4"/>
        <v>#DIV/0!</v>
      </c>
    </row>
    <row r="8" spans="1:16" s="58" customFormat="1" ht="20.25" hidden="1" customHeight="1" x14ac:dyDescent="0.25">
      <c r="A8" s="66" t="s">
        <v>111</v>
      </c>
      <c r="B8" s="71" t="e">
        <v>#DIV/0!</v>
      </c>
      <c r="C8" s="72">
        <v>0</v>
      </c>
      <c r="D8" s="72">
        <f t="shared" si="6"/>
        <v>3428</v>
      </c>
      <c r="E8" s="72" t="e">
        <f t="shared" si="7"/>
        <v>#DIV/0!</v>
      </c>
      <c r="F8" s="72"/>
      <c r="G8" s="72"/>
      <c r="H8" s="72"/>
      <c r="I8" s="72"/>
      <c r="J8" s="72"/>
      <c r="K8" s="73" t="e">
        <f t="shared" si="0"/>
        <v>#DIV/0!</v>
      </c>
      <c r="L8" s="73" t="e">
        <f t="shared" si="1"/>
        <v>#DIV/0!</v>
      </c>
      <c r="M8" s="73" t="e">
        <f t="shared" si="2"/>
        <v>#DIV/0!</v>
      </c>
      <c r="N8" s="73" t="e">
        <f t="shared" si="3"/>
        <v>#DIV/0!</v>
      </c>
      <c r="O8" s="73" t="e">
        <f t="shared" si="5"/>
        <v>#DIV/0!</v>
      </c>
      <c r="P8" s="73" t="e">
        <f t="shared" si="4"/>
        <v>#DIV/0!</v>
      </c>
    </row>
    <row r="9" spans="1:16" s="58" customFormat="1" ht="20.25" hidden="1" customHeight="1" x14ac:dyDescent="0.25">
      <c r="A9" s="66" t="s">
        <v>114</v>
      </c>
      <c r="B9" s="71" t="e">
        <v>#DIV/0!</v>
      </c>
      <c r="C9" s="72">
        <v>0</v>
      </c>
      <c r="D9" s="72">
        <f t="shared" si="6"/>
        <v>3428</v>
      </c>
      <c r="E9" s="72" t="e">
        <f t="shared" si="7"/>
        <v>#DIV/0!</v>
      </c>
      <c r="F9" s="72"/>
      <c r="G9" s="72"/>
      <c r="H9" s="72"/>
      <c r="I9" s="72"/>
      <c r="J9" s="72"/>
      <c r="K9" s="73" t="e">
        <f t="shared" si="0"/>
        <v>#DIV/0!</v>
      </c>
      <c r="L9" s="73" t="e">
        <f t="shared" si="1"/>
        <v>#DIV/0!</v>
      </c>
      <c r="M9" s="73" t="e">
        <f t="shared" si="2"/>
        <v>#DIV/0!</v>
      </c>
      <c r="N9" s="73" t="e">
        <f t="shared" si="3"/>
        <v>#DIV/0!</v>
      </c>
      <c r="O9" s="73" t="e">
        <f t="shared" si="5"/>
        <v>#DIV/0!</v>
      </c>
      <c r="P9" s="73" t="e">
        <f t="shared" si="4"/>
        <v>#DIV/0!</v>
      </c>
    </row>
    <row r="10" spans="1:16" s="58" customFormat="1" ht="20.25" hidden="1" customHeight="1" x14ac:dyDescent="0.25">
      <c r="A10" s="66" t="s">
        <v>115</v>
      </c>
      <c r="B10" s="71" t="e">
        <v>#DIV/0!</v>
      </c>
      <c r="C10" s="72">
        <v>0</v>
      </c>
      <c r="D10" s="72">
        <f t="shared" si="6"/>
        <v>3428</v>
      </c>
      <c r="E10" s="72" t="e">
        <f t="shared" si="7"/>
        <v>#DIV/0!</v>
      </c>
      <c r="F10" s="72"/>
      <c r="G10" s="72"/>
      <c r="H10" s="72"/>
      <c r="I10" s="72"/>
      <c r="J10" s="72"/>
      <c r="K10" s="73" t="e">
        <f t="shared" si="0"/>
        <v>#DIV/0!</v>
      </c>
      <c r="L10" s="73" t="e">
        <f t="shared" si="1"/>
        <v>#DIV/0!</v>
      </c>
      <c r="M10" s="73" t="e">
        <f t="shared" si="2"/>
        <v>#DIV/0!</v>
      </c>
      <c r="N10" s="73" t="e">
        <f t="shared" si="3"/>
        <v>#DIV/0!</v>
      </c>
      <c r="O10" s="73" t="e">
        <f t="shared" si="5"/>
        <v>#DIV/0!</v>
      </c>
      <c r="P10" s="73" t="e">
        <f t="shared" si="4"/>
        <v>#DIV/0!</v>
      </c>
    </row>
    <row r="11" spans="1:16" s="58" customFormat="1" ht="20.25" hidden="1" customHeight="1" x14ac:dyDescent="0.25">
      <c r="A11" s="66" t="s">
        <v>116</v>
      </c>
      <c r="B11" s="71" t="e">
        <v>#DIV/0!</v>
      </c>
      <c r="C11" s="72">
        <v>0</v>
      </c>
      <c r="D11" s="72">
        <f t="shared" si="6"/>
        <v>3428</v>
      </c>
      <c r="E11" s="72" t="e">
        <f t="shared" si="7"/>
        <v>#DIV/0!</v>
      </c>
      <c r="F11" s="72"/>
      <c r="G11" s="72"/>
      <c r="H11" s="72"/>
      <c r="I11" s="72"/>
      <c r="J11" s="72"/>
      <c r="K11" s="73" t="e">
        <f t="shared" si="0"/>
        <v>#DIV/0!</v>
      </c>
      <c r="L11" s="73" t="e">
        <f t="shared" si="1"/>
        <v>#DIV/0!</v>
      </c>
      <c r="M11" s="73" t="e">
        <f t="shared" si="2"/>
        <v>#DIV/0!</v>
      </c>
      <c r="N11" s="73" t="e">
        <f t="shared" si="3"/>
        <v>#DIV/0!</v>
      </c>
      <c r="O11" s="73" t="e">
        <f t="shared" si="5"/>
        <v>#DIV/0!</v>
      </c>
      <c r="P11" s="73" t="e">
        <f t="shared" si="4"/>
        <v>#DIV/0!</v>
      </c>
    </row>
    <row r="12" spans="1:16" s="58" customFormat="1" ht="20.25" hidden="1" customHeight="1" x14ac:dyDescent="0.25">
      <c r="A12" s="66" t="s">
        <v>112</v>
      </c>
      <c r="B12" s="71" t="e">
        <v>#DIV/0!</v>
      </c>
      <c r="C12" s="72">
        <v>0</v>
      </c>
      <c r="D12" s="72">
        <f t="shared" si="6"/>
        <v>3428</v>
      </c>
      <c r="E12" s="72" t="e">
        <f t="shared" si="7"/>
        <v>#DIV/0!</v>
      </c>
      <c r="F12" s="72"/>
      <c r="G12" s="72"/>
      <c r="H12" s="72"/>
      <c r="I12" s="72"/>
      <c r="J12" s="72"/>
      <c r="K12" s="73" t="e">
        <f t="shared" si="0"/>
        <v>#DIV/0!</v>
      </c>
      <c r="L12" s="73" t="e">
        <f t="shared" si="1"/>
        <v>#DIV/0!</v>
      </c>
      <c r="M12" s="73" t="e">
        <f t="shared" si="2"/>
        <v>#DIV/0!</v>
      </c>
      <c r="N12" s="73" t="e">
        <f t="shared" si="3"/>
        <v>#DIV/0!</v>
      </c>
      <c r="O12" s="73" t="e">
        <f t="shared" si="5"/>
        <v>#DIV/0!</v>
      </c>
      <c r="P12" s="73" t="e">
        <f t="shared" si="4"/>
        <v>#DIV/0!</v>
      </c>
    </row>
    <row r="13" spans="1:16" s="58" customFormat="1" ht="20.25" hidden="1" customHeight="1" x14ac:dyDescent="0.25">
      <c r="A13" s="66" t="s">
        <v>117</v>
      </c>
      <c r="B13" s="71" t="e">
        <v>#DIV/0!</v>
      </c>
      <c r="C13" s="72">
        <v>0</v>
      </c>
      <c r="D13" s="72">
        <f t="shared" si="6"/>
        <v>3428</v>
      </c>
      <c r="E13" s="72" t="e">
        <f t="shared" si="7"/>
        <v>#DIV/0!</v>
      </c>
      <c r="F13" s="72"/>
      <c r="G13" s="72"/>
      <c r="H13" s="72"/>
      <c r="I13" s="72"/>
      <c r="J13" s="72"/>
      <c r="K13" s="73" t="e">
        <f t="shared" si="0"/>
        <v>#DIV/0!</v>
      </c>
      <c r="L13" s="73" t="e">
        <f t="shared" si="1"/>
        <v>#DIV/0!</v>
      </c>
      <c r="M13" s="73" t="e">
        <f t="shared" si="2"/>
        <v>#DIV/0!</v>
      </c>
      <c r="N13" s="73" t="e">
        <f t="shared" si="3"/>
        <v>#DIV/0!</v>
      </c>
      <c r="O13" s="73" t="e">
        <f t="shared" si="5"/>
        <v>#DIV/0!</v>
      </c>
      <c r="P13" s="73" t="e">
        <f t="shared" si="4"/>
        <v>#DIV/0!</v>
      </c>
    </row>
    <row r="14" spans="1:16" s="58" customFormat="1" ht="20.25" hidden="1" customHeight="1" x14ac:dyDescent="0.25">
      <c r="A14" s="66" t="s">
        <v>118</v>
      </c>
      <c r="B14" s="71" t="e">
        <v>#DIV/0!</v>
      </c>
      <c r="C14" s="72">
        <v>0</v>
      </c>
      <c r="D14" s="72">
        <f t="shared" si="6"/>
        <v>3428</v>
      </c>
      <c r="E14" s="72" t="e">
        <f t="shared" si="7"/>
        <v>#DIV/0!</v>
      </c>
      <c r="F14" s="72"/>
      <c r="G14" s="72"/>
      <c r="H14" s="72"/>
      <c r="I14" s="72"/>
      <c r="J14" s="72"/>
      <c r="K14" s="73" t="e">
        <f t="shared" si="0"/>
        <v>#DIV/0!</v>
      </c>
      <c r="L14" s="73" t="e">
        <f t="shared" si="1"/>
        <v>#DIV/0!</v>
      </c>
      <c r="M14" s="73" t="e">
        <f t="shared" si="2"/>
        <v>#DIV/0!</v>
      </c>
      <c r="N14" s="73" t="e">
        <f t="shared" si="3"/>
        <v>#DIV/0!</v>
      </c>
      <c r="O14" s="73" t="e">
        <f t="shared" si="5"/>
        <v>#DIV/0!</v>
      </c>
      <c r="P14" s="73" t="e">
        <f t="shared" si="4"/>
        <v>#DIV/0!</v>
      </c>
    </row>
    <row r="15" spans="1:16" s="58" customFormat="1" ht="20.25" hidden="1" customHeight="1" x14ac:dyDescent="0.25">
      <c r="B15" s="74" t="e">
        <v>#DIV/0!</v>
      </c>
      <c r="C15" s="75">
        <v>0</v>
      </c>
      <c r="D15" s="60"/>
    </row>
    <row r="16" spans="1:16" ht="20.25" hidden="1" customHeight="1" x14ac:dyDescent="0.3"/>
    <row r="17" spans="1:18" ht="20.25" hidden="1" customHeight="1" x14ac:dyDescent="0.3"/>
    <row r="18" spans="1:18" ht="20.25" hidden="1" customHeight="1" x14ac:dyDescent="0.3">
      <c r="A18" t="s">
        <v>133</v>
      </c>
    </row>
    <row r="19" spans="1:18" s="58" customFormat="1" ht="20.25" hidden="1" customHeight="1" x14ac:dyDescent="0.25">
      <c r="A19" s="708" t="s">
        <v>134</v>
      </c>
      <c r="B19" s="708"/>
      <c r="C19" s="708"/>
      <c r="D19" s="708"/>
      <c r="E19" s="708"/>
      <c r="F19" s="708"/>
      <c r="G19" s="708"/>
      <c r="H19" s="708"/>
      <c r="I19" s="708"/>
      <c r="J19" s="708"/>
      <c r="K19" s="708"/>
      <c r="L19" s="708"/>
      <c r="M19" s="708"/>
      <c r="N19" s="716"/>
      <c r="O19" s="716"/>
      <c r="P19" s="716"/>
      <c r="Q19" s="716"/>
    </row>
    <row r="20" spans="1:18" s="58" customFormat="1" ht="12.75" customHeight="1" x14ac:dyDescent="0.25">
      <c r="A20" s="62"/>
      <c r="B20" s="181"/>
      <c r="C20" s="181"/>
      <c r="D20" s="181"/>
      <c r="E20" s="181"/>
      <c r="F20" s="181"/>
      <c r="G20" s="181"/>
      <c r="H20" s="181"/>
      <c r="I20" s="181"/>
      <c r="J20" s="62"/>
      <c r="K20" s="62"/>
      <c r="L20" s="62"/>
      <c r="M20" s="62"/>
      <c r="N20" s="180"/>
      <c r="O20" s="180"/>
      <c r="P20" s="180"/>
      <c r="Q20" s="180"/>
    </row>
    <row r="21" spans="1:18" s="58" customFormat="1" ht="25.5" customHeight="1" x14ac:dyDescent="0.25">
      <c r="B21" s="720" t="s">
        <v>201</v>
      </c>
      <c r="C21" s="720"/>
      <c r="D21" s="720"/>
      <c r="E21" s="720"/>
      <c r="F21" s="720"/>
      <c r="G21" s="720"/>
      <c r="H21" s="720"/>
      <c r="I21" s="720"/>
      <c r="J21" s="76"/>
      <c r="N21" s="717"/>
      <c r="O21" s="717"/>
      <c r="P21" s="717"/>
      <c r="Q21" s="717"/>
    </row>
    <row r="22" spans="1:18" s="58" customFormat="1" ht="20.25" hidden="1" customHeight="1" x14ac:dyDescent="0.25">
      <c r="A22" s="77" t="s">
        <v>135</v>
      </c>
      <c r="B22" s="77" t="s">
        <v>136</v>
      </c>
      <c r="C22" s="77" t="s">
        <v>137</v>
      </c>
      <c r="D22" s="77" t="s">
        <v>138</v>
      </c>
      <c r="E22" s="77" t="s">
        <v>139</v>
      </c>
      <c r="F22" s="77"/>
      <c r="G22" s="77"/>
      <c r="H22" s="77"/>
      <c r="I22" s="77"/>
      <c r="J22" s="77"/>
      <c r="K22" s="77" t="s">
        <v>140</v>
      </c>
      <c r="L22" s="77" t="s">
        <v>141</v>
      </c>
      <c r="M22" s="77" t="s">
        <v>142</v>
      </c>
      <c r="N22" s="77" t="s">
        <v>143</v>
      </c>
    </row>
    <row r="23" spans="1:18" s="79" customFormat="1" ht="20.25" hidden="1" customHeight="1" x14ac:dyDescent="0.2">
      <c r="A23" s="78" t="s">
        <v>90</v>
      </c>
      <c r="B23" s="78" t="s">
        <v>121</v>
      </c>
      <c r="C23" s="78" t="s">
        <v>122</v>
      </c>
      <c r="D23" s="78" t="s">
        <v>123</v>
      </c>
      <c r="E23" s="78" t="s">
        <v>124</v>
      </c>
      <c r="F23" s="78"/>
      <c r="G23" s="78"/>
      <c r="H23" s="78"/>
      <c r="I23" s="78"/>
      <c r="J23" s="78"/>
      <c r="K23" s="78" t="s">
        <v>144</v>
      </c>
      <c r="L23" s="78" t="s">
        <v>145</v>
      </c>
      <c r="M23" s="78" t="s">
        <v>129</v>
      </c>
      <c r="N23" s="78" t="s">
        <v>130</v>
      </c>
      <c r="R23" s="80"/>
    </row>
    <row r="24" spans="1:18" s="58" customFormat="1" ht="20.25" hidden="1" customHeight="1" x14ac:dyDescent="0.25">
      <c r="A24" s="81" t="s">
        <v>109</v>
      </c>
      <c r="B24" s="82">
        <v>4910.7999999999993</v>
      </c>
      <c r="C24" s="83">
        <v>3428</v>
      </c>
      <c r="D24" s="83">
        <f>C24</f>
        <v>3428</v>
      </c>
      <c r="E24" s="83">
        <f>B24</f>
        <v>4910.7999999999993</v>
      </c>
      <c r="F24" s="83"/>
      <c r="G24" s="83"/>
      <c r="H24" s="83"/>
      <c r="I24" s="83"/>
      <c r="J24" s="83"/>
      <c r="K24" s="84">
        <f>IF(E24&lt;D24,0,MIN(E24,D24))</f>
        <v>3428</v>
      </c>
      <c r="L24" s="83">
        <f>K24</f>
        <v>3428</v>
      </c>
      <c r="M24" s="84">
        <f>IF(E24&gt;8*D24,7*D24,IF(E24&lt;D24,0,E24-D24))</f>
        <v>1482.7999999999993</v>
      </c>
      <c r="N24" s="83">
        <f>M24</f>
        <v>1482.7999999999993</v>
      </c>
      <c r="R24" s="85"/>
    </row>
    <row r="25" spans="1:18" s="58" customFormat="1" ht="20.25" hidden="1" customHeight="1" x14ac:dyDescent="0.25">
      <c r="A25" s="81" t="s">
        <v>131</v>
      </c>
      <c r="B25" s="82">
        <v>0</v>
      </c>
      <c r="C25" s="83">
        <v>0</v>
      </c>
      <c r="D25" s="83">
        <f>D24+C25</f>
        <v>3428</v>
      </c>
      <c r="E25" s="83">
        <f>E24+B25</f>
        <v>4910.7999999999993</v>
      </c>
      <c r="F25" s="83"/>
      <c r="G25" s="83"/>
      <c r="H25" s="83"/>
      <c r="I25" s="83"/>
      <c r="J25" s="83"/>
      <c r="K25" s="83">
        <f t="shared" ref="K25:K35" si="8">IF(E25&lt;D25,0,MIN(E25,D25))</f>
        <v>3428</v>
      </c>
      <c r="L25" s="83">
        <f>K25-K24</f>
        <v>0</v>
      </c>
      <c r="M25" s="84">
        <f>IF(E25&gt;8*D25,7*D25,IF(E25&lt;D25,0,E25-D25))</f>
        <v>1482.7999999999993</v>
      </c>
      <c r="N25" s="83">
        <f>M25-M24</f>
        <v>0</v>
      </c>
      <c r="R25" s="85"/>
    </row>
    <row r="26" spans="1:18" s="58" customFormat="1" ht="20.25" hidden="1" customHeight="1" x14ac:dyDescent="0.25">
      <c r="A26" s="81" t="s">
        <v>110</v>
      </c>
      <c r="B26" s="82" t="e">
        <v>#DIV/0!</v>
      </c>
      <c r="C26" s="83">
        <v>0</v>
      </c>
      <c r="D26" s="83">
        <f>D25+C26</f>
        <v>3428</v>
      </c>
      <c r="E26" s="83" t="e">
        <f>E25+B26</f>
        <v>#DIV/0!</v>
      </c>
      <c r="F26" s="83"/>
      <c r="G26" s="83"/>
      <c r="H26" s="83"/>
      <c r="I26" s="83"/>
      <c r="J26" s="83"/>
      <c r="K26" s="83" t="e">
        <f t="shared" si="8"/>
        <v>#DIV/0!</v>
      </c>
      <c r="L26" s="83" t="e">
        <f>K26-K25</f>
        <v>#DIV/0!</v>
      </c>
      <c r="M26" s="84" t="e">
        <f t="shared" ref="M26:M35" si="9">IF(E26&gt;8*D26,7*D26,IF(E26&lt;D26,0,E26-D26))</f>
        <v>#DIV/0!</v>
      </c>
      <c r="N26" s="83" t="e">
        <f t="shared" ref="N26:N35" si="10">M26-M25</f>
        <v>#DIV/0!</v>
      </c>
      <c r="R26" s="85"/>
    </row>
    <row r="27" spans="1:18" s="58" customFormat="1" ht="20.25" hidden="1" customHeight="1" x14ac:dyDescent="0.25">
      <c r="A27" s="81" t="s">
        <v>132</v>
      </c>
      <c r="B27" s="82" t="e">
        <v>#DIV/0!</v>
      </c>
      <c r="C27" s="83">
        <v>0</v>
      </c>
      <c r="D27" s="83">
        <f>D26+C27</f>
        <v>3428</v>
      </c>
      <c r="E27" s="83" t="e">
        <f>E26+B27</f>
        <v>#DIV/0!</v>
      </c>
      <c r="F27" s="83"/>
      <c r="G27" s="83"/>
      <c r="H27" s="83"/>
      <c r="I27" s="83"/>
      <c r="J27" s="83"/>
      <c r="K27" s="83" t="e">
        <f t="shared" si="8"/>
        <v>#DIV/0!</v>
      </c>
      <c r="L27" s="83" t="e">
        <f t="shared" ref="L27:L35" si="11">K27-K26</f>
        <v>#DIV/0!</v>
      </c>
      <c r="M27" s="84" t="e">
        <f t="shared" si="9"/>
        <v>#DIV/0!</v>
      </c>
      <c r="N27" s="83" t="e">
        <f t="shared" si="10"/>
        <v>#DIV/0!</v>
      </c>
      <c r="R27" s="85"/>
    </row>
    <row r="28" spans="1:18" s="58" customFormat="1" ht="20.25" hidden="1" customHeight="1" x14ac:dyDescent="0.25">
      <c r="A28" s="81" t="s">
        <v>113</v>
      </c>
      <c r="B28" s="82" t="e">
        <v>#DIV/0!</v>
      </c>
      <c r="C28" s="83">
        <v>0</v>
      </c>
      <c r="D28" s="83">
        <f t="shared" ref="D28:D35" si="12">D27+C28</f>
        <v>3428</v>
      </c>
      <c r="E28" s="83" t="e">
        <f t="shared" ref="E28:E35" si="13">E27+B28</f>
        <v>#DIV/0!</v>
      </c>
      <c r="F28" s="83"/>
      <c r="G28" s="83"/>
      <c r="H28" s="83"/>
      <c r="I28" s="83"/>
      <c r="J28" s="83"/>
      <c r="K28" s="83" t="e">
        <f t="shared" si="8"/>
        <v>#DIV/0!</v>
      </c>
      <c r="L28" s="83" t="e">
        <f t="shared" si="11"/>
        <v>#DIV/0!</v>
      </c>
      <c r="M28" s="84" t="e">
        <f t="shared" si="9"/>
        <v>#DIV/0!</v>
      </c>
      <c r="N28" s="83" t="e">
        <f t="shared" si="10"/>
        <v>#DIV/0!</v>
      </c>
      <c r="R28" s="85"/>
    </row>
    <row r="29" spans="1:18" s="58" customFormat="1" ht="20.25" hidden="1" customHeight="1" x14ac:dyDescent="0.25">
      <c r="A29" s="81" t="s">
        <v>111</v>
      </c>
      <c r="B29" s="82" t="e">
        <v>#DIV/0!</v>
      </c>
      <c r="C29" s="83">
        <v>0</v>
      </c>
      <c r="D29" s="86">
        <f t="shared" si="12"/>
        <v>3428</v>
      </c>
      <c r="E29" s="86" t="e">
        <f t="shared" si="13"/>
        <v>#DIV/0!</v>
      </c>
      <c r="F29" s="86"/>
      <c r="G29" s="86"/>
      <c r="H29" s="86"/>
      <c r="I29" s="86"/>
      <c r="J29" s="86"/>
      <c r="K29" s="83" t="e">
        <f t="shared" si="8"/>
        <v>#DIV/0!</v>
      </c>
      <c r="L29" s="83" t="e">
        <f t="shared" si="11"/>
        <v>#DIV/0!</v>
      </c>
      <c r="M29" s="84" t="e">
        <f t="shared" si="9"/>
        <v>#DIV/0!</v>
      </c>
      <c r="N29" s="83" t="e">
        <f t="shared" si="10"/>
        <v>#DIV/0!</v>
      </c>
      <c r="R29" s="85"/>
    </row>
    <row r="30" spans="1:18" s="58" customFormat="1" ht="20.25" hidden="1" customHeight="1" x14ac:dyDescent="0.25">
      <c r="A30" s="81" t="s">
        <v>114</v>
      </c>
      <c r="B30" s="82" t="e">
        <v>#DIV/0!</v>
      </c>
      <c r="C30" s="83">
        <v>0</v>
      </c>
      <c r="D30" s="86">
        <f t="shared" si="12"/>
        <v>3428</v>
      </c>
      <c r="E30" s="86" t="e">
        <f t="shared" si="13"/>
        <v>#DIV/0!</v>
      </c>
      <c r="F30" s="86"/>
      <c r="G30" s="86"/>
      <c r="H30" s="86"/>
      <c r="I30" s="86"/>
      <c r="J30" s="86"/>
      <c r="K30" s="83" t="e">
        <f t="shared" si="8"/>
        <v>#DIV/0!</v>
      </c>
      <c r="L30" s="83" t="e">
        <f t="shared" si="11"/>
        <v>#DIV/0!</v>
      </c>
      <c r="M30" s="84" t="e">
        <f t="shared" si="9"/>
        <v>#DIV/0!</v>
      </c>
      <c r="N30" s="83" t="e">
        <f t="shared" si="10"/>
        <v>#DIV/0!</v>
      </c>
    </row>
    <row r="31" spans="1:18" s="58" customFormat="1" ht="20.25" hidden="1" customHeight="1" x14ac:dyDescent="0.25">
      <c r="A31" s="81" t="s">
        <v>115</v>
      </c>
      <c r="B31" s="82" t="e">
        <v>#DIV/0!</v>
      </c>
      <c r="C31" s="83">
        <v>0</v>
      </c>
      <c r="D31" s="86">
        <f t="shared" si="12"/>
        <v>3428</v>
      </c>
      <c r="E31" s="86" t="e">
        <f t="shared" si="13"/>
        <v>#DIV/0!</v>
      </c>
      <c r="F31" s="86"/>
      <c r="G31" s="86"/>
      <c r="H31" s="86"/>
      <c r="I31" s="86"/>
      <c r="J31" s="86"/>
      <c r="K31" s="83" t="e">
        <f t="shared" si="8"/>
        <v>#DIV/0!</v>
      </c>
      <c r="L31" s="83" t="e">
        <f t="shared" si="11"/>
        <v>#DIV/0!</v>
      </c>
      <c r="M31" s="84" t="e">
        <f t="shared" si="9"/>
        <v>#DIV/0!</v>
      </c>
      <c r="N31" s="83" t="e">
        <f t="shared" si="10"/>
        <v>#DIV/0!</v>
      </c>
    </row>
    <row r="32" spans="1:18" s="58" customFormat="1" ht="20.25" hidden="1" customHeight="1" x14ac:dyDescent="0.25">
      <c r="A32" s="81" t="s">
        <v>116</v>
      </c>
      <c r="B32" s="82" t="e">
        <v>#DIV/0!</v>
      </c>
      <c r="C32" s="83">
        <v>0</v>
      </c>
      <c r="D32" s="86">
        <f t="shared" si="12"/>
        <v>3428</v>
      </c>
      <c r="E32" s="86" t="e">
        <f t="shared" si="13"/>
        <v>#DIV/0!</v>
      </c>
      <c r="F32" s="86"/>
      <c r="G32" s="86"/>
      <c r="H32" s="86"/>
      <c r="I32" s="86"/>
      <c r="J32" s="86"/>
      <c r="K32" s="83" t="e">
        <f t="shared" si="8"/>
        <v>#DIV/0!</v>
      </c>
      <c r="L32" s="83" t="e">
        <f t="shared" si="11"/>
        <v>#DIV/0!</v>
      </c>
      <c r="M32" s="84" t="e">
        <f t="shared" si="9"/>
        <v>#DIV/0!</v>
      </c>
      <c r="N32" s="83" t="e">
        <f t="shared" si="10"/>
        <v>#DIV/0!</v>
      </c>
      <c r="R32" s="87"/>
    </row>
    <row r="33" spans="1:33" s="58" customFormat="1" ht="20.25" hidden="1" customHeight="1" x14ac:dyDescent="0.25">
      <c r="A33" s="81" t="s">
        <v>112</v>
      </c>
      <c r="B33" s="82" t="e">
        <v>#DIV/0!</v>
      </c>
      <c r="C33" s="83">
        <v>0</v>
      </c>
      <c r="D33" s="86">
        <f t="shared" si="12"/>
        <v>3428</v>
      </c>
      <c r="E33" s="86" t="e">
        <f t="shared" si="13"/>
        <v>#DIV/0!</v>
      </c>
      <c r="F33" s="86"/>
      <c r="G33" s="86"/>
      <c r="H33" s="86"/>
      <c r="I33" s="86"/>
      <c r="J33" s="86"/>
      <c r="K33" s="83" t="e">
        <f t="shared" si="8"/>
        <v>#DIV/0!</v>
      </c>
      <c r="L33" s="83" t="e">
        <f t="shared" si="11"/>
        <v>#DIV/0!</v>
      </c>
      <c r="M33" s="84" t="e">
        <f t="shared" si="9"/>
        <v>#DIV/0!</v>
      </c>
      <c r="N33" s="83" t="e">
        <f t="shared" si="10"/>
        <v>#DIV/0!</v>
      </c>
      <c r="R33" s="85"/>
    </row>
    <row r="34" spans="1:33" s="58" customFormat="1" ht="20.25" hidden="1" customHeight="1" x14ac:dyDescent="0.25">
      <c r="A34" s="81" t="s">
        <v>117</v>
      </c>
      <c r="B34" s="82" t="e">
        <v>#DIV/0!</v>
      </c>
      <c r="C34" s="83">
        <v>0</v>
      </c>
      <c r="D34" s="86">
        <f t="shared" si="12"/>
        <v>3428</v>
      </c>
      <c r="E34" s="86" t="e">
        <f t="shared" si="13"/>
        <v>#DIV/0!</v>
      </c>
      <c r="F34" s="86"/>
      <c r="G34" s="86"/>
      <c r="H34" s="86"/>
      <c r="I34" s="86"/>
      <c r="J34" s="86"/>
      <c r="K34" s="83" t="e">
        <f t="shared" si="8"/>
        <v>#DIV/0!</v>
      </c>
      <c r="L34" s="83" t="e">
        <f t="shared" si="11"/>
        <v>#DIV/0!</v>
      </c>
      <c r="M34" s="84" t="e">
        <f t="shared" si="9"/>
        <v>#DIV/0!</v>
      </c>
      <c r="N34" s="83" t="e">
        <f t="shared" si="10"/>
        <v>#DIV/0!</v>
      </c>
      <c r="R34" s="85"/>
    </row>
    <row r="35" spans="1:33" s="58" customFormat="1" ht="20.25" hidden="1" customHeight="1" x14ac:dyDescent="0.25">
      <c r="A35" s="81" t="s">
        <v>118</v>
      </c>
      <c r="B35" s="82" t="e">
        <v>#DIV/0!</v>
      </c>
      <c r="C35" s="83">
        <v>0</v>
      </c>
      <c r="D35" s="86">
        <f t="shared" si="12"/>
        <v>3428</v>
      </c>
      <c r="E35" s="86" t="e">
        <f t="shared" si="13"/>
        <v>#DIV/0!</v>
      </c>
      <c r="F35" s="86"/>
      <c r="G35" s="86"/>
      <c r="H35" s="86"/>
      <c r="I35" s="86"/>
      <c r="J35" s="86"/>
      <c r="K35" s="83" t="e">
        <f t="shared" si="8"/>
        <v>#DIV/0!</v>
      </c>
      <c r="L35" s="83" t="e">
        <f t="shared" si="11"/>
        <v>#DIV/0!</v>
      </c>
      <c r="M35" s="84" t="e">
        <f t="shared" si="9"/>
        <v>#DIV/0!</v>
      </c>
      <c r="N35" s="83" t="e">
        <f t="shared" si="10"/>
        <v>#DIV/0!</v>
      </c>
      <c r="R35" s="85"/>
    </row>
    <row r="36" spans="1:33" s="58" customFormat="1" ht="20.25" hidden="1" customHeight="1" x14ac:dyDescent="0.25">
      <c r="A36" s="88"/>
      <c r="B36" s="438" t="e">
        <v>#DIV/0!</v>
      </c>
      <c r="C36" s="439">
        <v>0</v>
      </c>
      <c r="D36" s="89"/>
      <c r="E36" s="89"/>
      <c r="F36" s="89"/>
      <c r="G36" s="89"/>
      <c r="H36" s="89"/>
      <c r="I36" s="89"/>
      <c r="J36" s="89"/>
      <c r="K36" s="89"/>
      <c r="L36" s="89"/>
      <c r="M36" s="90"/>
      <c r="N36" s="89"/>
      <c r="R36" s="85"/>
    </row>
    <row r="37" spans="1:33" s="58" customFormat="1" ht="20.25" customHeight="1" x14ac:dyDescent="0.25">
      <c r="A37" s="442"/>
      <c r="B37" s="442"/>
      <c r="C37" s="91"/>
      <c r="D37" s="91"/>
      <c r="E37" s="91"/>
      <c r="F37" s="91"/>
      <c r="G37" s="89"/>
      <c r="H37" s="89"/>
      <c r="I37" s="89"/>
      <c r="J37" s="89"/>
      <c r="K37" s="89"/>
      <c r="L37" s="89"/>
      <c r="M37" s="90"/>
      <c r="N37" s="89"/>
      <c r="R37" s="85"/>
    </row>
    <row r="38" spans="1:33" s="58" customFormat="1" ht="20.25" customHeight="1" x14ac:dyDescent="0.25">
      <c r="A38" s="443"/>
      <c r="B38" s="722" t="s">
        <v>120</v>
      </c>
      <c r="C38" s="723"/>
      <c r="D38" s="444"/>
      <c r="E38" s="721" t="s">
        <v>199</v>
      </c>
      <c r="F38" s="721"/>
      <c r="G38" s="717"/>
      <c r="H38" s="717"/>
      <c r="I38" s="717"/>
      <c r="J38" s="717"/>
      <c r="K38" s="717"/>
      <c r="L38" s="89"/>
      <c r="M38" s="90"/>
      <c r="N38" s="89"/>
      <c r="R38" s="85"/>
    </row>
    <row r="39" spans="1:33" ht="30" customHeight="1" x14ac:dyDescent="0.3">
      <c r="A39" s="443"/>
      <c r="B39" s="445"/>
      <c r="D39" s="93" t="s">
        <v>104</v>
      </c>
      <c r="E39" s="93" t="s">
        <v>151</v>
      </c>
      <c r="F39" s="94" t="s">
        <v>152</v>
      </c>
      <c r="G39" s="177"/>
      <c r="H39" s="161"/>
      <c r="I39" s="161"/>
      <c r="J39" s="161"/>
      <c r="L39" s="174" t="s">
        <v>151</v>
      </c>
      <c r="M39" s="94" t="s">
        <v>152</v>
      </c>
      <c r="N39" s="93" t="s">
        <v>151</v>
      </c>
      <c r="O39" s="94" t="s">
        <v>152</v>
      </c>
      <c r="P39" s="93" t="s">
        <v>151</v>
      </c>
      <c r="Q39" s="94" t="s">
        <v>152</v>
      </c>
      <c r="R39" s="93" t="s">
        <v>151</v>
      </c>
      <c r="S39" s="94" t="s">
        <v>152</v>
      </c>
      <c r="T39" s="93" t="s">
        <v>151</v>
      </c>
      <c r="U39" s="94" t="s">
        <v>152</v>
      </c>
      <c r="V39" s="93" t="s">
        <v>151</v>
      </c>
      <c r="W39" s="94" t="s">
        <v>152</v>
      </c>
      <c r="X39" s="93" t="s">
        <v>151</v>
      </c>
      <c r="Y39" s="94" t="s">
        <v>152</v>
      </c>
      <c r="Z39" s="93" t="s">
        <v>151</v>
      </c>
      <c r="AA39" s="94" t="s">
        <v>152</v>
      </c>
      <c r="AB39" s="93" t="s">
        <v>151</v>
      </c>
      <c r="AC39" s="94" t="s">
        <v>152</v>
      </c>
      <c r="AD39" s="93" t="s">
        <v>151</v>
      </c>
      <c r="AE39" s="94" t="s">
        <v>152</v>
      </c>
      <c r="AF39" s="93" t="s">
        <v>151</v>
      </c>
      <c r="AG39" s="94" t="s">
        <v>152</v>
      </c>
    </row>
    <row r="40" spans="1:33" ht="20.25" customHeight="1" x14ac:dyDescent="0.3">
      <c r="A40" s="443"/>
      <c r="B40" s="719" t="s">
        <v>40</v>
      </c>
      <c r="C40" s="670"/>
      <c r="D40" s="437">
        <f>'BP FORMAT JUILLET 2023'!D51</f>
        <v>6.9000000000000006E-2</v>
      </c>
      <c r="E40" s="96">
        <f>'BP FORMAT JUILLET 2023'!C51</f>
        <v>1900</v>
      </c>
      <c r="F40" s="97">
        <f>ROUND(E40*D40,2)</f>
        <v>131.1</v>
      </c>
      <c r="G40" s="178"/>
      <c r="H40" s="162"/>
      <c r="I40" s="162"/>
      <c r="J40" s="162"/>
      <c r="L40" s="175">
        <f>L4</f>
        <v>0</v>
      </c>
      <c r="M40" s="97">
        <f>ROUND(L40*D40/100,2)</f>
        <v>0</v>
      </c>
      <c r="N40" s="97" t="e">
        <f>L5</f>
        <v>#DIV/0!</v>
      </c>
      <c r="O40" s="97" t="e">
        <f>ROUND(N40*D40/100,2)</f>
        <v>#DIV/0!</v>
      </c>
      <c r="P40" s="97" t="e">
        <f>L6</f>
        <v>#DIV/0!</v>
      </c>
      <c r="Q40" s="97" t="e">
        <f>ROUND(P40*D40/100,2)</f>
        <v>#DIV/0!</v>
      </c>
      <c r="R40" s="97" t="e">
        <f>L7</f>
        <v>#DIV/0!</v>
      </c>
      <c r="S40" s="97" t="e">
        <f>ROUND(R40*D40/100,2)</f>
        <v>#DIV/0!</v>
      </c>
      <c r="T40" s="97" t="e">
        <f>+L8</f>
        <v>#DIV/0!</v>
      </c>
      <c r="U40" s="97" t="e">
        <f>+ROUND(T40*D40/100,2)</f>
        <v>#DIV/0!</v>
      </c>
      <c r="V40" s="98" t="e">
        <f>L9</f>
        <v>#DIV/0!</v>
      </c>
      <c r="W40" s="99" t="e">
        <f>ROUND(V40*D40/100,2)</f>
        <v>#DIV/0!</v>
      </c>
      <c r="X40" s="98" t="e">
        <f>L10</f>
        <v>#DIV/0!</v>
      </c>
      <c r="Y40" s="99" t="e">
        <f>ROUND(X40*D40/100,2)</f>
        <v>#DIV/0!</v>
      </c>
      <c r="Z40" s="98" t="e">
        <f>L11</f>
        <v>#DIV/0!</v>
      </c>
      <c r="AA40" s="99" t="e">
        <f>ROUND(Z40*D40/100,2)</f>
        <v>#DIV/0!</v>
      </c>
      <c r="AB40" s="98" t="e">
        <f>L12</f>
        <v>#DIV/0!</v>
      </c>
      <c r="AC40" s="100" t="e">
        <f>ROUND(AB40*D40/100,2)</f>
        <v>#DIV/0!</v>
      </c>
      <c r="AD40" s="98" t="e">
        <f>L13</f>
        <v>#DIV/0!</v>
      </c>
      <c r="AE40" s="100" t="e">
        <f>ROUND(AD40*D40/100,2)</f>
        <v>#DIV/0!</v>
      </c>
      <c r="AF40" s="98" t="e">
        <f>L14</f>
        <v>#DIV/0!</v>
      </c>
      <c r="AG40" s="100" t="e">
        <f>ROUND(AF40*D40/100,2)</f>
        <v>#DIV/0!</v>
      </c>
    </row>
    <row r="41" spans="1:33" ht="20.25" customHeight="1" x14ac:dyDescent="0.3">
      <c r="A41" s="443"/>
      <c r="B41" s="719" t="s">
        <v>41</v>
      </c>
      <c r="C41" s="670"/>
      <c r="D41" s="437">
        <f>'BP FORMAT JUILLET 2023'!D52</f>
        <v>4.0000000000000001E-3</v>
      </c>
      <c r="E41" s="96">
        <f>'BP FORMAT JUILLET 2023'!C52</f>
        <v>1900</v>
      </c>
      <c r="F41" s="97">
        <f t="shared" ref="F41:F47" si="14">ROUND(E41*D41,2)</f>
        <v>7.6</v>
      </c>
      <c r="G41" s="178"/>
      <c r="H41" s="162"/>
      <c r="I41" s="162"/>
      <c r="J41" s="162"/>
      <c r="L41" s="175">
        <f>B4</f>
        <v>0</v>
      </c>
      <c r="M41" s="97">
        <f t="shared" ref="M41:M48" si="15">ROUND(L41*D41/100,2)</f>
        <v>0</v>
      </c>
      <c r="N41" s="97" t="e">
        <f>B5</f>
        <v>#DIV/0!</v>
      </c>
      <c r="O41" s="97" t="e">
        <f t="shared" ref="O41:O48" si="16">ROUND(N41*D41/100,2)</f>
        <v>#DIV/0!</v>
      </c>
      <c r="P41" s="97" t="e">
        <f>B6</f>
        <v>#DIV/0!</v>
      </c>
      <c r="Q41" s="97" t="e">
        <f t="shared" ref="Q41:Q48" si="17">ROUND(P41*D41/100,2)</f>
        <v>#DIV/0!</v>
      </c>
      <c r="R41" s="97" t="e">
        <f>B7</f>
        <v>#DIV/0!</v>
      </c>
      <c r="S41" s="97" t="e">
        <f t="shared" ref="S41:S46" si="18">ROUND(R41*D41/100,2)</f>
        <v>#DIV/0!</v>
      </c>
      <c r="T41" s="97" t="e">
        <f>E8</f>
        <v>#DIV/0!</v>
      </c>
      <c r="U41" s="97" t="e">
        <f>ROUND(T41*D41/100,2)</f>
        <v>#DIV/0!</v>
      </c>
      <c r="V41" s="101" t="e">
        <f>E9</f>
        <v>#DIV/0!</v>
      </c>
      <c r="W41" s="100" t="e">
        <f>ROUND(V41*D41/100,2)</f>
        <v>#DIV/0!</v>
      </c>
      <c r="X41" s="98" t="e">
        <f>E10</f>
        <v>#DIV/0!</v>
      </c>
      <c r="Y41" s="100" t="e">
        <f>ROUND(X41*D41/100,2)</f>
        <v>#DIV/0!</v>
      </c>
      <c r="Z41" s="98" t="e">
        <f>E11</f>
        <v>#DIV/0!</v>
      </c>
      <c r="AA41" s="100" t="e">
        <f>ROUND(Z41*D41/100,2)</f>
        <v>#DIV/0!</v>
      </c>
      <c r="AB41" s="98" t="e">
        <f>E12</f>
        <v>#DIV/0!</v>
      </c>
      <c r="AC41" s="100" t="e">
        <f>ROUND(AB41*D41/100,2)</f>
        <v>#DIV/0!</v>
      </c>
      <c r="AD41" s="98" t="e">
        <f>E13</f>
        <v>#DIV/0!</v>
      </c>
      <c r="AE41" s="100" t="e">
        <f>ROUND(AD41*D41/100,2)</f>
        <v>#DIV/0!</v>
      </c>
      <c r="AF41" s="98" t="e">
        <f>E14</f>
        <v>#DIV/0!</v>
      </c>
      <c r="AG41" s="100" t="e">
        <f>ROUND(AF41*D41/100,2)</f>
        <v>#DIV/0!</v>
      </c>
    </row>
    <row r="42" spans="1:33" ht="20.25" customHeight="1" x14ac:dyDescent="0.3">
      <c r="A42" s="443"/>
      <c r="B42" s="719" t="s">
        <v>42</v>
      </c>
      <c r="C42" s="670"/>
      <c r="D42" s="437">
        <f>'BP FORMAT JUILLET 2023'!D53</f>
        <v>4.0099999999999997E-2</v>
      </c>
      <c r="E42" s="96">
        <f>'BP FORMAT JUILLET 2023'!C53</f>
        <v>1900</v>
      </c>
      <c r="F42" s="97">
        <f t="shared" si="14"/>
        <v>76.19</v>
      </c>
      <c r="G42" s="178"/>
      <c r="H42" s="162"/>
      <c r="I42" s="162"/>
      <c r="J42" s="162"/>
      <c r="L42" s="175">
        <f>L4</f>
        <v>0</v>
      </c>
      <c r="M42" s="97">
        <f t="shared" si="15"/>
        <v>0</v>
      </c>
      <c r="N42" s="97" t="e">
        <f>L5</f>
        <v>#DIV/0!</v>
      </c>
      <c r="O42" s="97" t="e">
        <f t="shared" si="16"/>
        <v>#DIV/0!</v>
      </c>
      <c r="P42" s="97" t="e">
        <f>P40</f>
        <v>#DIV/0!</v>
      </c>
      <c r="Q42" s="97" t="e">
        <f t="shared" si="17"/>
        <v>#DIV/0!</v>
      </c>
      <c r="R42" s="97" t="e">
        <f>R40</f>
        <v>#DIV/0!</v>
      </c>
      <c r="S42" s="97" t="e">
        <f t="shared" si="18"/>
        <v>#DIV/0!</v>
      </c>
      <c r="T42" s="97" t="e">
        <f>T40</f>
        <v>#DIV/0!</v>
      </c>
      <c r="U42" s="97" t="e">
        <f t="shared" ref="U42:U47" si="19">ROUND(T42*D42/100,2)</f>
        <v>#DIV/0!</v>
      </c>
      <c r="V42" s="98" t="e">
        <f>V40</f>
        <v>#DIV/0!</v>
      </c>
      <c r="W42" s="99" t="e">
        <f>ROUND(V42*D42/100,2)</f>
        <v>#DIV/0!</v>
      </c>
      <c r="X42" s="98" t="e">
        <f>X40</f>
        <v>#DIV/0!</v>
      </c>
      <c r="Y42" s="100" t="e">
        <f>ROUND(X42*D42/100,2)</f>
        <v>#DIV/0!</v>
      </c>
      <c r="Z42" s="98" t="e">
        <f>Z40</f>
        <v>#DIV/0!</v>
      </c>
      <c r="AA42" s="100" t="e">
        <f>ROUND(Z42*D42/100,2)</f>
        <v>#DIV/0!</v>
      </c>
      <c r="AB42" s="98" t="e">
        <f>AB40</f>
        <v>#DIV/0!</v>
      </c>
      <c r="AC42" s="100" t="e">
        <f>ROUND(AB42*D42/100,2)</f>
        <v>#DIV/0!</v>
      </c>
      <c r="AD42" s="98" t="e">
        <f>AD40</f>
        <v>#DIV/0!</v>
      </c>
      <c r="AE42" s="100" t="e">
        <f>ROUND(AD42*D42/100,2)</f>
        <v>#DIV/0!</v>
      </c>
      <c r="AF42" s="98" t="e">
        <f>AF40</f>
        <v>#DIV/0!</v>
      </c>
      <c r="AG42" s="100" t="e">
        <f>ROUND(AF42*D42/100,2)</f>
        <v>#DIV/0!</v>
      </c>
    </row>
    <row r="43" spans="1:33" ht="20.25" customHeight="1" x14ac:dyDescent="0.3">
      <c r="A43" s="443"/>
      <c r="B43" s="719" t="s">
        <v>43</v>
      </c>
      <c r="C43" s="670"/>
      <c r="D43" s="437">
        <f>'BP FORMAT JUILLET 2023'!D54</f>
        <v>0</v>
      </c>
      <c r="E43" s="96">
        <f>'BP FORMAT JUILLET 2023'!C54</f>
        <v>0</v>
      </c>
      <c r="F43" s="97">
        <f t="shared" si="14"/>
        <v>0</v>
      </c>
      <c r="G43" s="178"/>
      <c r="H43" s="162"/>
      <c r="I43" s="162"/>
      <c r="J43" s="162"/>
      <c r="L43" s="175">
        <f>P4</f>
        <v>0</v>
      </c>
      <c r="M43" s="97">
        <f>ROUND(L43*D43/100,2)</f>
        <v>0</v>
      </c>
      <c r="N43" s="97" t="e">
        <f>P5</f>
        <v>#DIV/0!</v>
      </c>
      <c r="O43" s="97" t="e">
        <f t="shared" si="16"/>
        <v>#DIV/0!</v>
      </c>
      <c r="P43" s="97" t="e">
        <f>P6</f>
        <v>#DIV/0!</v>
      </c>
      <c r="Q43" s="97" t="e">
        <f t="shared" si="17"/>
        <v>#DIV/0!</v>
      </c>
      <c r="R43" s="97" t="e">
        <f>P7</f>
        <v>#DIV/0!</v>
      </c>
      <c r="S43" s="97" t="e">
        <f t="shared" si="18"/>
        <v>#DIV/0!</v>
      </c>
      <c r="T43" s="97" t="e">
        <f>P8</f>
        <v>#DIV/0!</v>
      </c>
      <c r="U43" s="97" t="e">
        <f t="shared" si="19"/>
        <v>#DIV/0!</v>
      </c>
      <c r="V43" s="98" t="e">
        <f>P9</f>
        <v>#DIV/0!</v>
      </c>
      <c r="W43" s="100" t="e">
        <f>ROUND(V43*D43/100,2)</f>
        <v>#DIV/0!</v>
      </c>
      <c r="X43" s="98" t="e">
        <f>P10</f>
        <v>#DIV/0!</v>
      </c>
      <c r="Y43" s="100" t="e">
        <f>ROUND(X43*D43/100,2)</f>
        <v>#DIV/0!</v>
      </c>
      <c r="Z43" s="98" t="e">
        <f>P11</f>
        <v>#DIV/0!</v>
      </c>
      <c r="AA43" s="100" t="e">
        <f>ROUND(Z43*D43/100,2)</f>
        <v>#DIV/0!</v>
      </c>
      <c r="AB43" s="98" t="e">
        <f>P12</f>
        <v>#DIV/0!</v>
      </c>
      <c r="AC43" s="100" t="e">
        <f>ROUND(AB43*D43/100,2)</f>
        <v>#DIV/0!</v>
      </c>
      <c r="AD43" s="98" t="e">
        <f>P13</f>
        <v>#DIV/0!</v>
      </c>
      <c r="AE43" s="100" t="e">
        <f>ROUND(AD43*D43/100,2)</f>
        <v>#DIV/0!</v>
      </c>
      <c r="AF43" s="98" t="e">
        <f>P14</f>
        <v>#DIV/0!</v>
      </c>
      <c r="AG43" s="100" t="e">
        <f>ROUND(AF43*D43/100,2)</f>
        <v>#DIV/0!</v>
      </c>
    </row>
    <row r="44" spans="1:33" ht="21.75" hidden="1" customHeight="1" x14ac:dyDescent="0.3">
      <c r="A44" s="443"/>
      <c r="B44" s="719"/>
      <c r="C44" s="670"/>
      <c r="D44" s="95"/>
      <c r="E44" s="96"/>
      <c r="F44" s="97">
        <f t="shared" si="14"/>
        <v>0</v>
      </c>
      <c r="G44" s="178"/>
      <c r="H44" s="162"/>
      <c r="I44" s="162"/>
      <c r="J44" s="162"/>
      <c r="L44" s="175">
        <f>L42</f>
        <v>0</v>
      </c>
      <c r="M44" s="97">
        <f t="shared" si="15"/>
        <v>0</v>
      </c>
      <c r="N44" s="97" t="e">
        <f>N42</f>
        <v>#DIV/0!</v>
      </c>
      <c r="O44" s="97" t="e">
        <f t="shared" si="16"/>
        <v>#DIV/0!</v>
      </c>
      <c r="P44" s="97" t="e">
        <f>P42</f>
        <v>#DIV/0!</v>
      </c>
      <c r="Q44" s="97" t="e">
        <f t="shared" si="17"/>
        <v>#DIV/0!</v>
      </c>
      <c r="R44" s="97" t="e">
        <f>R42</f>
        <v>#DIV/0!</v>
      </c>
      <c r="S44" s="97" t="e">
        <f t="shared" si="18"/>
        <v>#DIV/0!</v>
      </c>
      <c r="T44" s="97" t="e">
        <f>T42</f>
        <v>#DIV/0!</v>
      </c>
      <c r="U44" s="97" t="e">
        <f t="shared" si="19"/>
        <v>#DIV/0!</v>
      </c>
      <c r="V44" s="98" t="e">
        <f>V42</f>
        <v>#DIV/0!</v>
      </c>
      <c r="W44" s="100" t="e">
        <f>ROUND(V44*D44/100,2)</f>
        <v>#DIV/0!</v>
      </c>
      <c r="X44" s="98" t="e">
        <f>+X42</f>
        <v>#DIV/0!</v>
      </c>
      <c r="Y44" s="100" t="e">
        <f>ROUND($D$44*X44/100,2)</f>
        <v>#DIV/0!</v>
      </c>
      <c r="Z44" s="98" t="e">
        <f>+Z42</f>
        <v>#DIV/0!</v>
      </c>
      <c r="AA44" s="100" t="e">
        <f>ROUND($D$44*Z44/100,2)</f>
        <v>#DIV/0!</v>
      </c>
      <c r="AB44" s="98" t="e">
        <f>+AB42</f>
        <v>#DIV/0!</v>
      </c>
      <c r="AC44" s="100" t="e">
        <f>ROUND($D$44*AB44/100,2)</f>
        <v>#DIV/0!</v>
      </c>
      <c r="AD44" s="98" t="e">
        <f>+AD42</f>
        <v>#DIV/0!</v>
      </c>
      <c r="AE44" s="100" t="e">
        <f>ROUND($D$44*AD44/100,2)</f>
        <v>#DIV/0!</v>
      </c>
      <c r="AF44" s="98" t="e">
        <f>+AF42</f>
        <v>#DIV/0!</v>
      </c>
      <c r="AG44" s="100" t="e">
        <f>ROUND($D$44*AF44/100,2)</f>
        <v>#DIV/0!</v>
      </c>
    </row>
    <row r="45" spans="1:33" ht="21.75" hidden="1" customHeight="1" x14ac:dyDescent="0.3">
      <c r="A45" s="443"/>
      <c r="B45" s="719"/>
      <c r="C45" s="670"/>
      <c r="D45" s="95"/>
      <c r="E45" s="96"/>
      <c r="F45" s="97">
        <f t="shared" si="14"/>
        <v>0</v>
      </c>
      <c r="G45" s="178"/>
      <c r="H45" s="162"/>
      <c r="I45" s="162"/>
      <c r="J45" s="162"/>
      <c r="L45" s="175">
        <f>L43</f>
        <v>0</v>
      </c>
      <c r="M45" s="97">
        <f t="shared" si="15"/>
        <v>0</v>
      </c>
      <c r="N45" s="97" t="e">
        <f>N43</f>
        <v>#DIV/0!</v>
      </c>
      <c r="O45" s="97" t="e">
        <f t="shared" si="16"/>
        <v>#DIV/0!</v>
      </c>
      <c r="P45" s="97" t="e">
        <f>P43</f>
        <v>#DIV/0!</v>
      </c>
      <c r="Q45" s="97" t="e">
        <f t="shared" si="17"/>
        <v>#DIV/0!</v>
      </c>
      <c r="R45" s="97" t="e">
        <f>R43</f>
        <v>#DIV/0!</v>
      </c>
      <c r="S45" s="97" t="e">
        <f t="shared" si="18"/>
        <v>#DIV/0!</v>
      </c>
      <c r="T45" s="97" t="e">
        <f>T43</f>
        <v>#DIV/0!</v>
      </c>
      <c r="U45" s="97" t="e">
        <f t="shared" si="19"/>
        <v>#DIV/0!</v>
      </c>
      <c r="V45" s="98" t="e">
        <f>V43</f>
        <v>#DIV/0!</v>
      </c>
      <c r="W45" s="100" t="e">
        <f>ROUND($D$45*V45/100,2)</f>
        <v>#DIV/0!</v>
      </c>
      <c r="X45" s="98" t="e">
        <f>X43</f>
        <v>#DIV/0!</v>
      </c>
      <c r="Y45" s="100" t="e">
        <f>ROUND($D$45*X45/100,2)</f>
        <v>#DIV/0!</v>
      </c>
      <c r="Z45" s="98" t="e">
        <f>Z43</f>
        <v>#DIV/0!</v>
      </c>
      <c r="AA45" s="100" t="e">
        <f>ROUND($D$45*Z45/100,2)</f>
        <v>#DIV/0!</v>
      </c>
      <c r="AB45" s="98" t="e">
        <f>AB43</f>
        <v>#DIV/0!</v>
      </c>
      <c r="AC45" s="100" t="e">
        <f>ROUND($D$45*AB45/100,2)</f>
        <v>#DIV/0!</v>
      </c>
      <c r="AD45" s="98" t="e">
        <f>AD43</f>
        <v>#DIV/0!</v>
      </c>
      <c r="AE45" s="100" t="e">
        <f>ROUND($D$45*AD45/100,2)</f>
        <v>#DIV/0!</v>
      </c>
      <c r="AF45" s="98" t="e">
        <f>AF43</f>
        <v>#DIV/0!</v>
      </c>
      <c r="AG45" s="100" t="e">
        <f>ROUND($D$45*AF45/100,2)</f>
        <v>#DIV/0!</v>
      </c>
    </row>
    <row r="46" spans="1:33" ht="21.75" hidden="1" customHeight="1" x14ac:dyDescent="0.3">
      <c r="A46" s="443"/>
      <c r="B46" s="719"/>
      <c r="C46" s="670"/>
      <c r="D46" s="95"/>
      <c r="E46" s="96"/>
      <c r="F46" s="97">
        <f t="shared" si="14"/>
        <v>0</v>
      </c>
      <c r="G46" s="178"/>
      <c r="H46" s="162"/>
      <c r="I46" s="162"/>
      <c r="J46" s="162"/>
      <c r="L46" s="175">
        <f>L25</f>
        <v>0</v>
      </c>
      <c r="M46" s="97">
        <f t="shared" si="15"/>
        <v>0</v>
      </c>
      <c r="N46" s="97" t="e">
        <f>L26</f>
        <v>#DIV/0!</v>
      </c>
      <c r="O46" s="97" t="e">
        <f t="shared" si="16"/>
        <v>#DIV/0!</v>
      </c>
      <c r="P46" s="97" t="e">
        <f>L27</f>
        <v>#DIV/0!</v>
      </c>
      <c r="Q46" s="97" t="e">
        <f t="shared" si="17"/>
        <v>#DIV/0!</v>
      </c>
      <c r="R46" s="97" t="e">
        <f>L28</f>
        <v>#DIV/0!</v>
      </c>
      <c r="S46" s="97" t="e">
        <f t="shared" si="18"/>
        <v>#DIV/0!</v>
      </c>
      <c r="T46" s="97" t="e">
        <f>L29</f>
        <v>#DIV/0!</v>
      </c>
      <c r="U46" s="97" t="e">
        <f t="shared" si="19"/>
        <v>#DIV/0!</v>
      </c>
      <c r="V46" s="98" t="e">
        <f>L30</f>
        <v>#DIV/0!</v>
      </c>
      <c r="W46" s="99" t="e">
        <f>ROUND(V46*$D$46/100,2)</f>
        <v>#DIV/0!</v>
      </c>
      <c r="X46" s="98" t="e">
        <f>L31</f>
        <v>#DIV/0!</v>
      </c>
      <c r="Y46" s="100" t="e">
        <f>ROUND(X46*$D$46/100,2)</f>
        <v>#DIV/0!</v>
      </c>
      <c r="Z46" s="98" t="e">
        <f>L32</f>
        <v>#DIV/0!</v>
      </c>
      <c r="AA46" s="100" t="e">
        <f>ROUND(Z46*$D$46/100,2)</f>
        <v>#DIV/0!</v>
      </c>
      <c r="AB46" s="98" t="e">
        <f>L33</f>
        <v>#DIV/0!</v>
      </c>
      <c r="AC46" s="100" t="e">
        <f>ROUND(AB46*$D$46/100,2)</f>
        <v>#DIV/0!</v>
      </c>
      <c r="AD46" s="98" t="e">
        <f>L34</f>
        <v>#DIV/0!</v>
      </c>
      <c r="AE46" s="100" t="e">
        <f>ROUND(AD46*$D$46/100,2)</f>
        <v>#DIV/0!</v>
      </c>
      <c r="AF46" s="98" t="e">
        <f>L35</f>
        <v>#DIV/0!</v>
      </c>
      <c r="AG46" s="100" t="e">
        <f>ROUND(AF46*$D$46/100,2)</f>
        <v>#DIV/0!</v>
      </c>
    </row>
    <row r="47" spans="1:33" ht="21.75" hidden="1" customHeight="1" x14ac:dyDescent="0.3">
      <c r="A47" s="443"/>
      <c r="B47" s="719"/>
      <c r="C47" s="670"/>
      <c r="D47" s="95"/>
      <c r="E47" s="96"/>
      <c r="F47" s="97">
        <f t="shared" si="14"/>
        <v>0</v>
      </c>
      <c r="G47" s="178"/>
      <c r="H47" s="162"/>
      <c r="I47" s="162"/>
      <c r="J47" s="162"/>
      <c r="L47" s="175">
        <f>N25</f>
        <v>0</v>
      </c>
      <c r="M47" s="97">
        <f t="shared" si="15"/>
        <v>0</v>
      </c>
      <c r="N47" s="97" t="e">
        <f>N26</f>
        <v>#DIV/0!</v>
      </c>
      <c r="O47" s="97" t="e">
        <f t="shared" si="16"/>
        <v>#DIV/0!</v>
      </c>
      <c r="P47" s="97" t="e">
        <f>N27</f>
        <v>#DIV/0!</v>
      </c>
      <c r="Q47" s="97" t="e">
        <f t="shared" si="17"/>
        <v>#DIV/0!</v>
      </c>
      <c r="R47" s="97" t="e">
        <f>N28</f>
        <v>#DIV/0!</v>
      </c>
      <c r="S47" s="97" t="e">
        <f>ROUND(D47*R47/100,2)</f>
        <v>#DIV/0!</v>
      </c>
      <c r="T47" s="97" t="e">
        <f>N29</f>
        <v>#DIV/0!</v>
      </c>
      <c r="U47" s="97" t="e">
        <f t="shared" si="19"/>
        <v>#DIV/0!</v>
      </c>
      <c r="V47" s="98" t="e">
        <f>N30</f>
        <v>#DIV/0!</v>
      </c>
      <c r="W47" s="100" t="e">
        <f>ROUND(V47*D47/100,2)</f>
        <v>#DIV/0!</v>
      </c>
      <c r="X47" s="98" t="e">
        <f>N31</f>
        <v>#DIV/0!</v>
      </c>
      <c r="Y47" s="100" t="e">
        <f>ROUND(X47*D47/100,2)</f>
        <v>#DIV/0!</v>
      </c>
      <c r="Z47" s="98" t="e">
        <f>N32</f>
        <v>#DIV/0!</v>
      </c>
      <c r="AA47" s="100" t="e">
        <f>ROUND(D47*Z47/100,2)</f>
        <v>#DIV/0!</v>
      </c>
      <c r="AB47" s="98" t="e">
        <f>N33</f>
        <v>#DIV/0!</v>
      </c>
      <c r="AC47" s="100" t="e">
        <f>ROUND(D47*AB47/100,2)</f>
        <v>#DIV/0!</v>
      </c>
      <c r="AD47" s="98" t="e">
        <f>N34</f>
        <v>#DIV/0!</v>
      </c>
      <c r="AE47" s="100" t="e">
        <f>ROUND(D47*AD47/100,2)</f>
        <v>#DIV/0!</v>
      </c>
      <c r="AF47" s="98" t="e">
        <f>N35</f>
        <v>#DIV/0!</v>
      </c>
      <c r="AG47" s="100" t="e">
        <f>ROUND(AF47*D47/100,2)</f>
        <v>#DIV/0!</v>
      </c>
    </row>
    <row r="48" spans="1:33" ht="21.75" hidden="1" customHeight="1" x14ac:dyDescent="0.3">
      <c r="A48" s="443"/>
      <c r="B48" s="719"/>
      <c r="C48" s="670"/>
      <c r="D48" s="387"/>
      <c r="E48" s="156"/>
      <c r="F48" s="97"/>
      <c r="G48" s="118"/>
      <c r="H48" s="162"/>
      <c r="I48" s="162"/>
      <c r="J48" s="162"/>
      <c r="L48" s="175">
        <v>0</v>
      </c>
      <c r="M48" s="97">
        <f t="shared" si="15"/>
        <v>0</v>
      </c>
      <c r="N48" s="97" t="e">
        <v>#DIV/0!</v>
      </c>
      <c r="O48" s="97" t="e">
        <f t="shared" si="16"/>
        <v>#DIV/0!</v>
      </c>
      <c r="P48" s="97" t="e">
        <v>#DIV/0!</v>
      </c>
      <c r="Q48" s="97" t="e">
        <f t="shared" si="17"/>
        <v>#DIV/0!</v>
      </c>
      <c r="R48" s="97" t="e">
        <v>#DIV/0!</v>
      </c>
      <c r="S48" s="97" t="e">
        <v>#DIV/0!</v>
      </c>
      <c r="T48" s="103" t="e">
        <v>#DIV/0!</v>
      </c>
      <c r="U48" s="97" t="e">
        <f>ROUND(T48*D48/100,2)</f>
        <v>#DIV/0!</v>
      </c>
      <c r="V48" s="98" t="e">
        <v>#DIV/0!</v>
      </c>
      <c r="W48" s="99" t="e">
        <f>ROUND(V48*$D$48/100,2)</f>
        <v>#DIV/0!</v>
      </c>
      <c r="X48" s="103" t="e">
        <v>#DIV/0!</v>
      </c>
      <c r="Y48" s="100" t="e">
        <f>ROUND(X48*$D$48/100,2)</f>
        <v>#DIV/0!</v>
      </c>
      <c r="Z48" s="103" t="e">
        <v>#DIV/0!</v>
      </c>
      <c r="AA48" s="100" t="e">
        <f>ROUND(Z48*$D$48/100,2)</f>
        <v>#DIV/0!</v>
      </c>
      <c r="AB48" s="103" t="e">
        <v>#DIV/0!</v>
      </c>
      <c r="AC48" s="100" t="e">
        <f>ROUND(AB48*$D$48/100,2)</f>
        <v>#DIV/0!</v>
      </c>
      <c r="AD48" s="103" t="e">
        <v>#DIV/0!</v>
      </c>
      <c r="AE48" s="100" t="e">
        <f>ROUND(AD48*$D$48/100,2)</f>
        <v>#DIV/0!</v>
      </c>
      <c r="AF48" s="103" t="e">
        <v>#DIV/0!</v>
      </c>
      <c r="AG48" s="100" t="e">
        <f>ROUND(AF48*$D$48/100,2)</f>
        <v>#DIV/0!</v>
      </c>
    </row>
    <row r="49" spans="1:33" s="20" customFormat="1" ht="20.25" customHeight="1" x14ac:dyDescent="0.25">
      <c r="A49" s="443"/>
      <c r="B49" s="718" t="s">
        <v>96</v>
      </c>
      <c r="C49" s="718"/>
      <c r="D49" s="446"/>
      <c r="F49" s="142">
        <f>SUM(F40:F48)</f>
        <v>214.89</v>
      </c>
      <c r="H49" s="163"/>
      <c r="I49" s="163"/>
      <c r="J49" s="163"/>
      <c r="L49" s="176"/>
      <c r="M49" s="105">
        <f>SUM(M40:M48)</f>
        <v>0</v>
      </c>
      <c r="N49" s="105"/>
      <c r="O49" s="105" t="e">
        <f>SUM(O40:O48)</f>
        <v>#DIV/0!</v>
      </c>
      <c r="P49" s="105"/>
      <c r="Q49" s="105" t="e">
        <f>SUM(Q40:Q48)</f>
        <v>#DIV/0!</v>
      </c>
      <c r="R49" s="105"/>
      <c r="S49" s="105" t="e">
        <f>SUM(S40:S48)</f>
        <v>#DIV/0!</v>
      </c>
      <c r="T49" s="105"/>
      <c r="U49" s="105" t="e">
        <f>SUM(U40:U48)</f>
        <v>#DIV/0!</v>
      </c>
      <c r="V49" s="105"/>
      <c r="W49" s="105" t="e">
        <f>SUM(W40:W48)</f>
        <v>#DIV/0!</v>
      </c>
      <c r="X49" s="105"/>
      <c r="Y49" s="105" t="e">
        <f t="shared" ref="Y49:AG49" si="20">SUM(Y40:Y48)</f>
        <v>#DIV/0!</v>
      </c>
      <c r="Z49" s="105"/>
      <c r="AA49" s="105" t="e">
        <f t="shared" si="20"/>
        <v>#DIV/0!</v>
      </c>
      <c r="AB49" s="105"/>
      <c r="AC49" s="105" t="e">
        <f t="shared" si="20"/>
        <v>#DIV/0!</v>
      </c>
      <c r="AD49" s="105"/>
      <c r="AE49" s="105" t="e">
        <f t="shared" si="20"/>
        <v>#DIV/0!</v>
      </c>
      <c r="AF49" s="105"/>
      <c r="AG49" s="105" t="e">
        <f t="shared" si="20"/>
        <v>#DIV/0!</v>
      </c>
    </row>
    <row r="50" spans="1:33" ht="20.25" customHeight="1" x14ac:dyDescent="0.3">
      <c r="A50" s="443"/>
      <c r="B50" s="724" t="s">
        <v>200</v>
      </c>
      <c r="C50" s="724"/>
      <c r="D50" s="447"/>
      <c r="E50" s="448"/>
      <c r="F50" s="436">
        <f xml:space="preserve"> ROUND(IF(F49/E41&gt;0.1131,0.1131,F49/E41),4)</f>
        <v>0.11310000000000001</v>
      </c>
      <c r="G50" s="106"/>
      <c r="H50" s="106"/>
      <c r="I50" s="106"/>
      <c r="J50" s="106"/>
      <c r="L50" s="107"/>
      <c r="M50" s="107"/>
      <c r="N50" s="107"/>
      <c r="P50" s="106"/>
      <c r="R50" s="106"/>
    </row>
    <row r="51" spans="1:33" ht="20.25" customHeight="1" x14ac:dyDescent="0.3">
      <c r="B51" s="52"/>
      <c r="C51" s="52"/>
      <c r="E51" s="106"/>
      <c r="F51" s="106"/>
      <c r="G51" s="106"/>
      <c r="H51" s="106"/>
      <c r="I51" s="106"/>
      <c r="J51" s="106"/>
      <c r="L51" s="107"/>
      <c r="M51" s="107"/>
      <c r="N51" s="107"/>
      <c r="P51" s="106"/>
      <c r="R51" s="106"/>
    </row>
    <row r="52" spans="1:33" ht="20.25" customHeight="1" x14ac:dyDescent="0.3">
      <c r="T52" s="106"/>
    </row>
    <row r="53" spans="1:33" ht="20.25" customHeight="1" x14ac:dyDescent="0.3">
      <c r="B53" s="108"/>
      <c r="C53" s="108"/>
      <c r="D53" s="108"/>
      <c r="E53" s="108"/>
      <c r="F53" s="108"/>
      <c r="G53" s="108"/>
      <c r="H53" s="108"/>
      <c r="I53" s="108"/>
      <c r="J53" s="108"/>
      <c r="K53" s="108"/>
    </row>
    <row r="54" spans="1:33" ht="27.75" customHeight="1" x14ac:dyDescent="0.3">
      <c r="A54" s="92" t="s">
        <v>153</v>
      </c>
      <c r="B54" s="728" t="s">
        <v>154</v>
      </c>
      <c r="C54" s="729"/>
      <c r="D54" s="729"/>
      <c r="E54" s="729"/>
      <c r="F54" s="729"/>
      <c r="G54" s="729"/>
      <c r="H54" s="729"/>
      <c r="I54" s="729"/>
      <c r="J54" s="729"/>
      <c r="K54" s="729"/>
      <c r="O54" s="109"/>
      <c r="P54" s="109"/>
      <c r="Q54" s="109"/>
      <c r="R54" s="109"/>
      <c r="S54" s="109"/>
      <c r="T54" s="109"/>
    </row>
    <row r="55" spans="1:33" ht="20.25" customHeight="1" x14ac:dyDescent="0.3">
      <c r="A55" s="57" t="s">
        <v>306</v>
      </c>
      <c r="B55" s="57" t="s">
        <v>265</v>
      </c>
      <c r="C55" s="57" t="s">
        <v>227</v>
      </c>
      <c r="D55" s="57" t="s">
        <v>266</v>
      </c>
      <c r="E55" s="57" t="s">
        <v>267</v>
      </c>
      <c r="F55" s="57" t="s">
        <v>268</v>
      </c>
      <c r="G55" s="57" t="s">
        <v>269</v>
      </c>
      <c r="H55" s="45"/>
      <c r="K55" s="110"/>
    </row>
    <row r="56" spans="1:33" s="111" customFormat="1" ht="48.75" customHeight="1" x14ac:dyDescent="0.2">
      <c r="A56" s="112" t="s">
        <v>315</v>
      </c>
      <c r="B56" s="440" t="s">
        <v>155</v>
      </c>
      <c r="C56" s="440" t="s">
        <v>316</v>
      </c>
      <c r="D56" s="440" t="s">
        <v>104</v>
      </c>
      <c r="E56" s="440" t="s">
        <v>317</v>
      </c>
      <c r="F56" s="441" t="s">
        <v>156</v>
      </c>
      <c r="G56" s="441" t="s">
        <v>409</v>
      </c>
      <c r="H56" s="113">
        <v>56</v>
      </c>
      <c r="I56" s="114"/>
      <c r="J56" s="114"/>
      <c r="N56" s="114"/>
      <c r="O56" s="114"/>
      <c r="P56" s="114"/>
      <c r="Q56" s="114"/>
      <c r="R56" s="114"/>
      <c r="S56" s="114"/>
      <c r="T56" s="114"/>
    </row>
    <row r="57" spans="1:33" s="111" customFormat="1" ht="33" customHeight="1" x14ac:dyDescent="0.2">
      <c r="A57" s="389"/>
      <c r="B57" s="391">
        <f>'BP FORMAT JUILLET 2023'!J21+'BP FORMAT JUILLET 2023'!J22+'BP FORMAT JUILLET 2023'!J20+'BP FORMAT JUILLET 2023'!J18+'BP FORMAT JUILLET 2023'!J19</f>
        <v>0</v>
      </c>
      <c r="C57" s="144">
        <f>A57+B57</f>
        <v>0</v>
      </c>
      <c r="D57" s="145">
        <f>ROUND(IF(F49/E41&gt;0.1131,0.1131,F49/E41),4)</f>
        <v>0.11310000000000001</v>
      </c>
      <c r="E57" s="392">
        <f>IF(A57&gt;8037,0,IF(C57&gt;8037,8037-A57,B57))</f>
        <v>0</v>
      </c>
      <c r="F57" s="392">
        <f>ROUND(E57*D57,2)</f>
        <v>0</v>
      </c>
      <c r="G57" s="390">
        <f>IF(C57&gt;8037,B57-E57,0)</f>
        <v>0</v>
      </c>
      <c r="H57" s="113">
        <v>57</v>
      </c>
      <c r="I57" s="158"/>
      <c r="J57" s="158"/>
      <c r="N57" s="114"/>
      <c r="O57" s="114"/>
      <c r="P57" s="114"/>
      <c r="Q57" s="114"/>
      <c r="R57" s="114"/>
      <c r="S57" s="114"/>
      <c r="T57" s="114"/>
    </row>
    <row r="58" spans="1:33" ht="22.5" hidden="1" customHeight="1" x14ac:dyDescent="0.3">
      <c r="A58" s="143"/>
      <c r="B58" s="144"/>
      <c r="C58" s="144"/>
      <c r="D58" s="143"/>
      <c r="E58" s="160"/>
      <c r="F58" s="144"/>
      <c r="G58" s="159"/>
      <c r="H58" s="159"/>
      <c r="I58" s="159"/>
      <c r="J58" s="159"/>
      <c r="L58" s="118"/>
      <c r="M58" s="119"/>
      <c r="N58" s="120"/>
      <c r="O58" s="114"/>
      <c r="P58" s="114"/>
      <c r="Q58" s="114"/>
      <c r="R58" s="118"/>
      <c r="S58" s="118"/>
      <c r="T58" s="118"/>
    </row>
    <row r="59" spans="1:33" ht="22.5" hidden="1" customHeight="1" x14ac:dyDescent="0.3">
      <c r="A59" s="113" t="s">
        <v>157</v>
      </c>
      <c r="B59" s="102">
        <v>0</v>
      </c>
      <c r="C59" s="113">
        <f>B59+B57</f>
        <v>0</v>
      </c>
      <c r="D59" s="115" t="e">
        <f>IF(M49/B25&gt;0.1131,0.1131,M49/B25)</f>
        <v>#DIV/0!</v>
      </c>
      <c r="E59" s="116" t="e">
        <f>IF(C59&lt;5358,B59*D59,IF(C57&gt;5358,0,(5358-C57)*D59))</f>
        <v>#DIV/0!</v>
      </c>
      <c r="F59" s="116"/>
      <c r="G59" s="157"/>
      <c r="H59" s="157"/>
      <c r="I59" s="157"/>
      <c r="J59" s="157"/>
      <c r="K59" s="117">
        <f>IF(C59&lt;5358,B59,IF(C57&gt;5358,0,5358-C57))</f>
        <v>0</v>
      </c>
      <c r="L59" s="118"/>
      <c r="M59" s="119"/>
      <c r="N59" s="120"/>
      <c r="O59" s="114"/>
      <c r="P59" s="114"/>
      <c r="Q59" s="114"/>
      <c r="R59" s="118"/>
      <c r="S59" s="118"/>
      <c r="T59" s="118"/>
    </row>
    <row r="60" spans="1:33" ht="22.5" hidden="1" customHeight="1" x14ac:dyDescent="0.3">
      <c r="A60" s="113" t="s">
        <v>158</v>
      </c>
      <c r="B60" s="102" t="e">
        <f>+L91</f>
        <v>#DIV/0!</v>
      </c>
      <c r="C60" s="102" t="e">
        <f>C59+B60</f>
        <v>#DIV/0!</v>
      </c>
      <c r="D60" s="115" t="e">
        <f>IF(O49/B26&lt;0.1131,O49/B26,0.1131)</f>
        <v>#DIV/0!</v>
      </c>
      <c r="E60" s="116" t="e">
        <f>IF(C60&lt;5358,B60*D60,IF(C59&gt;5358,0,(5358-C59)*D60))</f>
        <v>#DIV/0!</v>
      </c>
      <c r="F60" s="116"/>
      <c r="G60" s="116"/>
      <c r="H60" s="116"/>
      <c r="I60" s="116"/>
      <c r="J60" s="116"/>
      <c r="K60" s="117" t="e">
        <f t="shared" ref="K60:K69" si="21">IF(C60&lt;5358,B60,IF(C59&gt;5358,0,5358-C59))</f>
        <v>#DIV/0!</v>
      </c>
      <c r="L60" s="118"/>
      <c r="M60" s="119"/>
      <c r="N60" s="120"/>
      <c r="O60" s="121"/>
      <c r="P60" s="121"/>
      <c r="Q60" s="121"/>
      <c r="R60" s="121"/>
      <c r="S60" s="121"/>
      <c r="T60" s="121"/>
    </row>
    <row r="61" spans="1:33" ht="22.5" hidden="1" customHeight="1" x14ac:dyDescent="0.3">
      <c r="A61" s="113" t="s">
        <v>159</v>
      </c>
      <c r="B61" s="102" t="e">
        <f>+M91</f>
        <v>#DIV/0!</v>
      </c>
      <c r="C61" s="102" t="e">
        <f>C60+B61</f>
        <v>#DIV/0!</v>
      </c>
      <c r="D61" s="115" t="e">
        <f>IF(Q49/B27&lt;0.1131,Q49/B27,0.1131)</f>
        <v>#DIV/0!</v>
      </c>
      <c r="E61" s="116" t="e">
        <f>IF(C61&lt;5358,B61*D61,IF(C60&gt;5358,0,(5358-C60)*D61))</f>
        <v>#DIV/0!</v>
      </c>
      <c r="F61" s="116"/>
      <c r="G61" s="116"/>
      <c r="H61" s="116"/>
      <c r="I61" s="116"/>
      <c r="J61" s="116"/>
      <c r="K61" s="117" t="e">
        <f t="shared" si="21"/>
        <v>#DIV/0!</v>
      </c>
      <c r="L61" s="118"/>
      <c r="M61" s="119"/>
      <c r="N61" s="120"/>
      <c r="O61" s="121"/>
      <c r="P61" s="121"/>
      <c r="Q61" s="121"/>
      <c r="R61" s="121"/>
      <c r="S61" s="121"/>
      <c r="T61" s="121"/>
      <c r="U61" s="2"/>
    </row>
    <row r="62" spans="1:33" ht="22.5" hidden="1" customHeight="1" x14ac:dyDescent="0.3">
      <c r="A62" s="113" t="s">
        <v>160</v>
      </c>
      <c r="B62" s="102" t="e">
        <f>+N91</f>
        <v>#DIV/0!</v>
      </c>
      <c r="C62" s="102" t="e">
        <f>C61+B62</f>
        <v>#DIV/0!</v>
      </c>
      <c r="D62" s="115" t="e">
        <f>IF(S49/B28&lt;0.1131,S49/B28,0.1131)</f>
        <v>#DIV/0!</v>
      </c>
      <c r="E62" s="116" t="e">
        <f>IF(C62&lt;5358,B62*D62,IF(C61&gt;5358,0,(5358-C61)*D62))</f>
        <v>#DIV/0!</v>
      </c>
      <c r="F62" s="116"/>
      <c r="G62" s="116"/>
      <c r="H62" s="116"/>
      <c r="I62" s="116"/>
      <c r="J62" s="116"/>
      <c r="K62" s="117" t="e">
        <f t="shared" si="21"/>
        <v>#DIV/0!</v>
      </c>
      <c r="L62" s="118"/>
      <c r="M62" s="119"/>
      <c r="N62" s="120"/>
      <c r="O62" s="121"/>
      <c r="P62" s="121"/>
      <c r="Q62" s="121"/>
      <c r="R62" s="121"/>
      <c r="S62" s="121"/>
      <c r="T62" s="121"/>
      <c r="U62" s="2"/>
    </row>
    <row r="63" spans="1:33" ht="22.5" hidden="1" customHeight="1" x14ac:dyDescent="0.3">
      <c r="A63" s="113" t="s">
        <v>149</v>
      </c>
      <c r="B63" s="102" t="e">
        <f>+O91</f>
        <v>#DIV/0!</v>
      </c>
      <c r="C63" s="102" t="e">
        <f>C62+B63</f>
        <v>#DIV/0!</v>
      </c>
      <c r="D63" s="115" t="e">
        <f>IF(U49/B29&lt;0.1131,U49/B29,0.1131)</f>
        <v>#DIV/0!</v>
      </c>
      <c r="E63" s="116" t="e">
        <f>IF(C63&lt;5358,B63*D63,IF(C62&gt;5358,0,(5358-C62)*D63))</f>
        <v>#DIV/0!</v>
      </c>
      <c r="F63" s="116"/>
      <c r="G63" s="116"/>
      <c r="H63" s="116"/>
      <c r="I63" s="116"/>
      <c r="J63" s="116"/>
      <c r="K63" s="117" t="e">
        <f t="shared" si="21"/>
        <v>#DIV/0!</v>
      </c>
      <c r="L63" s="118"/>
      <c r="M63" s="119"/>
      <c r="N63" s="120"/>
      <c r="O63" s="121"/>
      <c r="P63" s="121"/>
      <c r="Q63" s="121"/>
      <c r="R63" s="121"/>
      <c r="S63" s="121"/>
      <c r="T63" s="121"/>
      <c r="U63" s="2"/>
    </row>
    <row r="64" spans="1:33" ht="22.5" hidden="1" customHeight="1" x14ac:dyDescent="0.3">
      <c r="A64" s="113" t="s">
        <v>161</v>
      </c>
      <c r="B64" s="122" t="e">
        <v>#DIV/0!</v>
      </c>
      <c r="C64" s="122" t="e">
        <f t="shared" ref="C64:C69" si="22">+B64+C63</f>
        <v>#DIV/0!</v>
      </c>
      <c r="D64" s="123" t="e">
        <f>+IF(W49/B30&gt;0.1131,0.1131,W49/B30)</f>
        <v>#DIV/0!</v>
      </c>
      <c r="E64" s="116" t="e">
        <f t="shared" ref="E64:E69" si="23">IF(C64&lt;5358,B64*D64,IF(C63&gt;5358,0,(5358-C63)*D64))</f>
        <v>#DIV/0!</v>
      </c>
      <c r="F64" s="116"/>
      <c r="G64" s="116"/>
      <c r="H64" s="116"/>
      <c r="I64" s="116"/>
      <c r="J64" s="116"/>
      <c r="K64" s="117" t="e">
        <f t="shared" si="21"/>
        <v>#DIV/0!</v>
      </c>
      <c r="L64" s="118"/>
      <c r="M64" s="119"/>
      <c r="N64" s="120"/>
      <c r="O64" s="121"/>
      <c r="P64" s="121"/>
      <c r="Q64" s="121"/>
      <c r="R64" s="121"/>
      <c r="S64" s="121"/>
      <c r="T64" s="121"/>
    </row>
    <row r="65" spans="1:20" ht="22.5" hidden="1" customHeight="1" x14ac:dyDescent="0.3">
      <c r="A65" s="113" t="s">
        <v>162</v>
      </c>
      <c r="B65" s="122" t="e">
        <f>Q91</f>
        <v>#DIV/0!</v>
      </c>
      <c r="C65" s="122" t="e">
        <f t="shared" si="22"/>
        <v>#DIV/0!</v>
      </c>
      <c r="D65" s="123" t="e">
        <f>+IF(Y49/B31&gt;0.1131,0.1131,Y49/B31)</f>
        <v>#DIV/0!</v>
      </c>
      <c r="E65" s="116" t="e">
        <f t="shared" si="23"/>
        <v>#DIV/0!</v>
      </c>
      <c r="F65" s="116"/>
      <c r="G65" s="116"/>
      <c r="H65" s="116"/>
      <c r="I65" s="116"/>
      <c r="J65" s="116"/>
      <c r="K65" s="117" t="e">
        <f t="shared" si="21"/>
        <v>#DIV/0!</v>
      </c>
      <c r="L65" s="118"/>
      <c r="M65" s="119"/>
      <c r="N65" s="120"/>
      <c r="O65" s="121"/>
      <c r="P65" s="121"/>
      <c r="Q65" s="121"/>
      <c r="R65" s="121"/>
      <c r="S65" s="121"/>
      <c r="T65" s="121"/>
    </row>
    <row r="66" spans="1:20" ht="22.5" hidden="1" customHeight="1" x14ac:dyDescent="0.3">
      <c r="A66" s="113" t="s">
        <v>163</v>
      </c>
      <c r="B66" s="122" t="e">
        <f>R91</f>
        <v>#DIV/0!</v>
      </c>
      <c r="C66" s="122" t="e">
        <f t="shared" si="22"/>
        <v>#DIV/0!</v>
      </c>
      <c r="D66" s="123" t="e">
        <f>+IF(AA49/B32&gt;0.1131,0.1131,AA49/E11)</f>
        <v>#DIV/0!</v>
      </c>
      <c r="E66" s="116" t="e">
        <f t="shared" si="23"/>
        <v>#DIV/0!</v>
      </c>
      <c r="F66" s="116"/>
      <c r="G66" s="116"/>
      <c r="H66" s="116"/>
      <c r="I66" s="116"/>
      <c r="J66" s="116"/>
      <c r="K66" s="117" t="e">
        <f t="shared" si="21"/>
        <v>#DIV/0!</v>
      </c>
      <c r="L66" s="118"/>
      <c r="M66" s="119"/>
      <c r="N66" s="120"/>
      <c r="O66" s="121"/>
      <c r="P66" s="121"/>
      <c r="Q66" s="121"/>
      <c r="R66" s="121"/>
      <c r="S66" s="121"/>
      <c r="T66" s="121"/>
    </row>
    <row r="67" spans="1:20" ht="22.5" hidden="1" customHeight="1" x14ac:dyDescent="0.3">
      <c r="A67" s="113" t="s">
        <v>164</v>
      </c>
      <c r="B67" s="122" t="e">
        <f>S91</f>
        <v>#DIV/0!</v>
      </c>
      <c r="C67" s="122" t="e">
        <f t="shared" si="22"/>
        <v>#DIV/0!</v>
      </c>
      <c r="D67" s="123" t="e">
        <f>+IF(AC49/B33&gt;0.1131,0.1131,AC49/EG2)</f>
        <v>#DIV/0!</v>
      </c>
      <c r="E67" s="116" t="e">
        <f t="shared" si="23"/>
        <v>#DIV/0!</v>
      </c>
      <c r="F67" s="116"/>
      <c r="G67" s="116"/>
      <c r="H67" s="116"/>
      <c r="I67" s="116"/>
      <c r="J67" s="116"/>
      <c r="K67" s="117" t="e">
        <f t="shared" si="21"/>
        <v>#DIV/0!</v>
      </c>
      <c r="L67" s="118"/>
      <c r="M67" s="119"/>
      <c r="N67" s="120"/>
      <c r="O67" s="121"/>
      <c r="P67" s="121"/>
      <c r="Q67" s="121"/>
      <c r="R67" s="121"/>
      <c r="S67" s="121"/>
      <c r="T67" s="121"/>
    </row>
    <row r="68" spans="1:20" ht="22.5" hidden="1" customHeight="1" x14ac:dyDescent="0.3">
      <c r="A68" s="113" t="s">
        <v>165</v>
      </c>
      <c r="B68" s="122" t="e">
        <f>T91</f>
        <v>#DIV/0!</v>
      </c>
      <c r="C68" s="122" t="e">
        <f t="shared" si="22"/>
        <v>#DIV/0!</v>
      </c>
      <c r="D68" s="123" t="e">
        <f>+IF(AE49/B34&gt;0.1131,0.1131,AE49/B34)</f>
        <v>#DIV/0!</v>
      </c>
      <c r="E68" s="116" t="e">
        <f t="shared" si="23"/>
        <v>#DIV/0!</v>
      </c>
      <c r="F68" s="116"/>
      <c r="G68" s="116"/>
      <c r="H68" s="116"/>
      <c r="I68" s="116"/>
      <c r="J68" s="116"/>
      <c r="K68" s="117" t="e">
        <f t="shared" si="21"/>
        <v>#DIV/0!</v>
      </c>
      <c r="L68" s="118"/>
      <c r="M68" s="119"/>
      <c r="N68" s="120"/>
      <c r="O68" s="121"/>
      <c r="P68" s="121"/>
      <c r="Q68" s="121"/>
      <c r="R68" s="121"/>
      <c r="S68" s="121"/>
      <c r="T68" s="121"/>
    </row>
    <row r="69" spans="1:20" ht="22.5" hidden="1" customHeight="1" x14ac:dyDescent="0.3">
      <c r="A69" s="113" t="s">
        <v>166</v>
      </c>
      <c r="B69" s="122" t="e">
        <f>U91</f>
        <v>#DIV/0!</v>
      </c>
      <c r="C69" s="122" t="e">
        <f t="shared" si="22"/>
        <v>#DIV/0!</v>
      </c>
      <c r="D69" s="123" t="e">
        <f>+IF(AG49/B35&gt;0.1131,0.1131,AG49/B35)</f>
        <v>#DIV/0!</v>
      </c>
      <c r="E69" s="116" t="e">
        <f t="shared" si="23"/>
        <v>#DIV/0!</v>
      </c>
      <c r="F69" s="116"/>
      <c r="G69" s="116"/>
      <c r="H69" s="116"/>
      <c r="I69" s="116"/>
      <c r="J69" s="116"/>
      <c r="K69" s="117" t="e">
        <f t="shared" si="21"/>
        <v>#DIV/0!</v>
      </c>
      <c r="L69" s="118"/>
      <c r="M69" s="119"/>
      <c r="N69" s="120"/>
      <c r="O69" s="121"/>
      <c r="P69" s="121"/>
      <c r="Q69" s="121"/>
      <c r="R69" s="121"/>
      <c r="S69" s="121"/>
      <c r="T69" s="121"/>
    </row>
    <row r="70" spans="1:20" ht="22.5" hidden="1" customHeight="1" x14ac:dyDescent="0.3">
      <c r="A70" s="45"/>
      <c r="B70" s="2"/>
      <c r="C70" s="2"/>
      <c r="D70" s="124" t="e">
        <f>+IF(AE52/E15&gt;0.1131,0.1131,AE52/E15)</f>
        <v>#DIV/0!</v>
      </c>
      <c r="M70" s="125" t="e">
        <f t="shared" ref="M70:M80" si="24">+K70-K69</f>
        <v>#DIV/0!</v>
      </c>
      <c r="Q70" s="126"/>
      <c r="R70" s="127">
        <f t="shared" ref="R70:R80" si="25">IF(C70&lt;5358,C70*0.9825,5358*0.9825)</f>
        <v>0</v>
      </c>
    </row>
    <row r="71" spans="1:20" ht="22.5" hidden="1" customHeight="1" x14ac:dyDescent="0.3">
      <c r="A71" s="45"/>
      <c r="B71" s="2"/>
      <c r="C71" s="2"/>
      <c r="D71" s="57" t="e">
        <f>+IF(AE53/E16&gt;0.1131,0.1131,AE53/E16)</f>
        <v>#DIV/0!</v>
      </c>
      <c r="M71" s="128">
        <f t="shared" si="24"/>
        <v>0</v>
      </c>
      <c r="Q71" s="129"/>
      <c r="R71" s="127">
        <f t="shared" si="25"/>
        <v>0</v>
      </c>
    </row>
    <row r="72" spans="1:20" ht="22.5" hidden="1" customHeight="1" x14ac:dyDescent="0.3">
      <c r="A72" s="108"/>
      <c r="B72" s="2"/>
      <c r="C72" s="2"/>
      <c r="D72" s="57" t="e">
        <f>+IF(AE54/E17&gt;0.1131,0.1131,AE54/E17)</f>
        <v>#DIV/0!</v>
      </c>
      <c r="M72" s="128">
        <f t="shared" si="24"/>
        <v>0</v>
      </c>
      <c r="Q72" s="130"/>
      <c r="R72" s="127">
        <f t="shared" si="25"/>
        <v>0</v>
      </c>
    </row>
    <row r="73" spans="1:20" ht="22.5" hidden="1" customHeight="1" x14ac:dyDescent="0.3">
      <c r="A73" s="108"/>
      <c r="B73" s="2"/>
      <c r="C73" s="2"/>
      <c r="D73" s="57" t="e">
        <f>+IF(AE55/E18&gt;0.1131,0.1131,AE55/E18)</f>
        <v>#DIV/0!</v>
      </c>
      <c r="M73" s="128">
        <f t="shared" si="24"/>
        <v>0</v>
      </c>
      <c r="Q73" s="130"/>
      <c r="R73" s="127">
        <f t="shared" si="25"/>
        <v>0</v>
      </c>
    </row>
    <row r="74" spans="1:20" ht="22.5" hidden="1" customHeight="1" x14ac:dyDescent="0.3">
      <c r="A74" s="108"/>
      <c r="B74" s="2"/>
      <c r="C74" s="2"/>
      <c r="D74" s="57" t="e">
        <f>+IF(AE56/E19&gt;0.1131,0.1131,AE56/E19)</f>
        <v>#DIV/0!</v>
      </c>
      <c r="M74" s="128">
        <f t="shared" si="24"/>
        <v>0</v>
      </c>
      <c r="Q74" s="130"/>
      <c r="R74" s="127">
        <f t="shared" si="25"/>
        <v>0</v>
      </c>
    </row>
    <row r="75" spans="1:20" ht="22.5" hidden="1" customHeight="1" x14ac:dyDescent="0.3">
      <c r="A75" s="108"/>
      <c r="B75" s="2"/>
      <c r="C75" s="2"/>
      <c r="D75" s="57" t="e">
        <f t="shared" ref="D75:D80" si="26">+IF(AE58/E21&gt;0.1131,0.1131,AE58/E21)</f>
        <v>#DIV/0!</v>
      </c>
      <c r="M75" s="128">
        <f t="shared" si="24"/>
        <v>0</v>
      </c>
      <c r="Q75" s="130"/>
      <c r="R75" s="127">
        <f t="shared" si="25"/>
        <v>0</v>
      </c>
    </row>
    <row r="76" spans="1:20" ht="22.5" hidden="1" customHeight="1" x14ac:dyDescent="0.3">
      <c r="A76" s="108"/>
      <c r="B76" s="2"/>
      <c r="C76" s="2"/>
      <c r="D76" s="57" t="e">
        <f t="shared" si="26"/>
        <v>#VALUE!</v>
      </c>
      <c r="M76" s="128">
        <f t="shared" si="24"/>
        <v>0</v>
      </c>
      <c r="Q76" s="130"/>
      <c r="R76" s="127">
        <f t="shared" si="25"/>
        <v>0</v>
      </c>
    </row>
    <row r="77" spans="1:20" ht="22.5" hidden="1" customHeight="1" x14ac:dyDescent="0.3">
      <c r="A77" s="108"/>
      <c r="B77" s="2"/>
      <c r="C77" s="2"/>
      <c r="D77" s="57" t="e">
        <f t="shared" si="26"/>
        <v>#VALUE!</v>
      </c>
      <c r="M77" s="128">
        <f t="shared" si="24"/>
        <v>0</v>
      </c>
      <c r="Q77" s="130"/>
      <c r="R77" s="127">
        <f t="shared" si="25"/>
        <v>0</v>
      </c>
    </row>
    <row r="78" spans="1:20" ht="22.5" hidden="1" customHeight="1" x14ac:dyDescent="0.3">
      <c r="A78" s="108"/>
      <c r="B78" s="2"/>
      <c r="C78" s="2"/>
      <c r="D78" s="57">
        <f t="shared" si="26"/>
        <v>0</v>
      </c>
      <c r="M78" s="128">
        <f t="shared" si="24"/>
        <v>0</v>
      </c>
      <c r="Q78" s="130"/>
      <c r="R78" s="127">
        <f t="shared" si="25"/>
        <v>0</v>
      </c>
    </row>
    <row r="79" spans="1:20" ht="22.5" hidden="1" customHeight="1" x14ac:dyDescent="0.3">
      <c r="A79" s="108"/>
      <c r="B79" s="2"/>
      <c r="C79" s="2"/>
      <c r="D79" s="57">
        <f t="shared" si="26"/>
        <v>0</v>
      </c>
      <c r="M79" s="128">
        <f t="shared" si="24"/>
        <v>0</v>
      </c>
      <c r="Q79" s="130"/>
      <c r="R79" s="127">
        <f t="shared" si="25"/>
        <v>0</v>
      </c>
    </row>
    <row r="80" spans="1:20" ht="22.5" hidden="1" customHeight="1" x14ac:dyDescent="0.3">
      <c r="A80" s="108"/>
      <c r="D80" s="57" t="e">
        <f t="shared" si="26"/>
        <v>#DIV/0!</v>
      </c>
      <c r="M80" s="128">
        <f t="shared" si="24"/>
        <v>0</v>
      </c>
      <c r="R80" s="127">
        <f t="shared" si="25"/>
        <v>0</v>
      </c>
    </row>
    <row r="81" spans="1:21" ht="20.25" customHeight="1" x14ac:dyDescent="0.3">
      <c r="A81" s="108"/>
      <c r="M81" s="131"/>
      <c r="R81" s="132"/>
    </row>
    <row r="82" spans="1:21" ht="20.25" customHeight="1" x14ac:dyDescent="0.3">
      <c r="A82" s="108"/>
      <c r="M82" s="131"/>
      <c r="R82" s="132"/>
    </row>
    <row r="83" spans="1:21" ht="20.25" customHeight="1" x14ac:dyDescent="0.3">
      <c r="A83" s="108"/>
      <c r="E83" s="152"/>
    </row>
    <row r="84" spans="1:21" ht="27" customHeight="1" x14ac:dyDescent="0.3">
      <c r="A84" s="450" t="s">
        <v>306</v>
      </c>
      <c r="B84" s="450" t="s">
        <v>265</v>
      </c>
      <c r="C84" s="450" t="s">
        <v>227</v>
      </c>
      <c r="D84" s="450" t="s">
        <v>266</v>
      </c>
      <c r="E84" s="450" t="s">
        <v>267</v>
      </c>
      <c r="F84" s="450" t="s">
        <v>268</v>
      </c>
      <c r="G84" s="109"/>
      <c r="H84" s="109"/>
      <c r="I84" s="109"/>
      <c r="J84" s="109"/>
      <c r="K84" s="109"/>
      <c r="L84" s="146" t="s">
        <v>158</v>
      </c>
      <c r="M84" s="133" t="s">
        <v>159</v>
      </c>
      <c r="N84" s="133" t="s">
        <v>148</v>
      </c>
      <c r="O84" s="133" t="s">
        <v>149</v>
      </c>
      <c r="P84" s="133" t="s">
        <v>150</v>
      </c>
      <c r="Q84" s="133" t="s">
        <v>162</v>
      </c>
      <c r="R84" s="133" t="s">
        <v>163</v>
      </c>
      <c r="S84" s="133" t="s">
        <v>164</v>
      </c>
      <c r="T84" s="133" t="s">
        <v>165</v>
      </c>
      <c r="U84" s="133" t="s">
        <v>166</v>
      </c>
    </row>
    <row r="85" spans="1:21" ht="20.25" customHeight="1" x14ac:dyDescent="0.3">
      <c r="A85" s="708" t="s">
        <v>167</v>
      </c>
      <c r="B85" s="708"/>
      <c r="C85" s="708"/>
      <c r="D85" s="708"/>
      <c r="E85" s="155">
        <f>'BP FORMAT JUILLET 2023'!J33-'BP FORMAT JUILLET 2023'!J22-'BP FORMAT JUILLET 2023'!J21-'BP FORMAT JUILLET 2023'!J20-'BP FORMAT JUILLET 2023'!J19-'BP FORMAT JUILLET 2023'!J18-'BP FORMAT JUILLET 2023'!J14-'BP FORMAT JUILLET 2023'!J17</f>
        <v>1900</v>
      </c>
      <c r="F85" s="449">
        <v>85</v>
      </c>
      <c r="G85" s="148"/>
      <c r="H85" s="148"/>
      <c r="I85" s="148"/>
      <c r="J85" s="148"/>
      <c r="K85" s="148"/>
      <c r="L85" s="147" t="e">
        <v>#DIV/0!</v>
      </c>
      <c r="M85" s="134" t="e">
        <v>#DIV/0!</v>
      </c>
      <c r="N85" s="134" t="e">
        <v>#DIV/0!</v>
      </c>
      <c r="O85" s="122" t="e">
        <v>#DIV/0!</v>
      </c>
      <c r="P85" s="122" t="e">
        <v>#DIV/0!</v>
      </c>
      <c r="Q85" s="122" t="e">
        <v>#DIV/0!</v>
      </c>
      <c r="R85" s="122" t="e">
        <v>#DIV/0!</v>
      </c>
      <c r="S85" s="122" t="e">
        <v>#DIV/0!</v>
      </c>
      <c r="T85" s="122" t="e">
        <v>#DIV/0!</v>
      </c>
      <c r="U85" s="122" t="e">
        <v>#DIV/0!</v>
      </c>
    </row>
    <row r="86" spans="1:21" ht="20.25" customHeight="1" x14ac:dyDescent="0.3">
      <c r="A86" s="725" t="s">
        <v>395</v>
      </c>
      <c r="B86" s="726"/>
      <c r="C86" s="726"/>
      <c r="D86" s="727"/>
      <c r="E86" s="155">
        <f>G57</f>
        <v>0</v>
      </c>
      <c r="F86" s="449">
        <v>86</v>
      </c>
      <c r="G86" s="148"/>
      <c r="H86" s="148"/>
      <c r="I86" s="148"/>
      <c r="J86" s="148"/>
      <c r="K86" s="148"/>
      <c r="L86" s="147"/>
      <c r="M86" s="134"/>
      <c r="N86" s="134"/>
      <c r="O86" s="122"/>
      <c r="P86" s="122"/>
      <c r="Q86" s="122"/>
      <c r="R86" s="122"/>
      <c r="S86" s="122"/>
      <c r="T86" s="122"/>
      <c r="U86" s="122"/>
    </row>
    <row r="87" spans="1:21" ht="20.25" customHeight="1" x14ac:dyDescent="0.3">
      <c r="A87" s="732" t="s">
        <v>396</v>
      </c>
      <c r="B87" s="720"/>
      <c r="C87" s="720"/>
      <c r="D87" s="733"/>
      <c r="E87" s="155">
        <f>E85+E86</f>
        <v>1900</v>
      </c>
      <c r="F87" s="449">
        <v>87</v>
      </c>
      <c r="G87" s="148"/>
      <c r="H87" s="148"/>
      <c r="I87" s="148"/>
      <c r="J87" s="148"/>
      <c r="K87" s="148"/>
      <c r="L87" s="147"/>
      <c r="M87" s="134"/>
      <c r="N87" s="134"/>
      <c r="O87" s="122"/>
      <c r="P87" s="122"/>
      <c r="Q87" s="122"/>
      <c r="R87" s="122"/>
      <c r="S87" s="122"/>
      <c r="T87" s="122"/>
      <c r="U87" s="122"/>
    </row>
    <row r="88" spans="1:21" ht="20.25" customHeight="1" x14ac:dyDescent="0.3">
      <c r="A88" s="725" t="s">
        <v>19</v>
      </c>
      <c r="B88" s="726"/>
      <c r="C88" s="726"/>
      <c r="D88" s="727"/>
      <c r="E88" s="155">
        <f>+'BP FORMAT JUILLET 2023'!J17</f>
        <v>0</v>
      </c>
      <c r="F88" s="449">
        <v>88</v>
      </c>
      <c r="G88" s="148"/>
      <c r="H88" s="148"/>
      <c r="I88" s="148"/>
      <c r="J88" s="148"/>
      <c r="K88" s="148"/>
      <c r="L88" s="147">
        <v>0</v>
      </c>
      <c r="M88" s="134">
        <v>0</v>
      </c>
      <c r="N88" s="134">
        <v>0</v>
      </c>
      <c r="O88" s="122">
        <v>0</v>
      </c>
      <c r="P88" s="122">
        <v>0</v>
      </c>
      <c r="Q88" s="122">
        <v>0</v>
      </c>
      <c r="R88" s="122">
        <v>0</v>
      </c>
      <c r="S88" s="122">
        <v>0</v>
      </c>
      <c r="T88" s="122">
        <v>0</v>
      </c>
      <c r="U88" s="122">
        <v>0</v>
      </c>
    </row>
    <row r="89" spans="1:21" ht="20.25" customHeight="1" x14ac:dyDescent="0.3">
      <c r="A89" s="725" t="s">
        <v>410</v>
      </c>
      <c r="B89" s="726"/>
      <c r="C89" s="726"/>
      <c r="D89" s="727"/>
      <c r="E89" s="155">
        <f>+'BP FORMAT JUILLET 2023'!J14</f>
        <v>0</v>
      </c>
      <c r="F89" s="449">
        <v>89</v>
      </c>
      <c r="G89" s="148"/>
      <c r="H89" s="148"/>
      <c r="I89" s="148"/>
      <c r="J89" s="148"/>
      <c r="K89" s="148"/>
      <c r="L89" s="147"/>
      <c r="M89" s="134"/>
      <c r="N89" s="134"/>
      <c r="O89" s="122"/>
      <c r="P89" s="122"/>
      <c r="Q89" s="122"/>
      <c r="R89" s="122"/>
      <c r="S89" s="122"/>
      <c r="T89" s="122"/>
      <c r="U89" s="122"/>
    </row>
    <row r="90" spans="1:21" ht="20.25" customHeight="1" x14ac:dyDescent="0.3">
      <c r="A90" s="725" t="s">
        <v>314</v>
      </c>
      <c r="B90" s="726"/>
      <c r="C90" s="726"/>
      <c r="D90" s="727"/>
      <c r="E90" s="155">
        <f>E88+E89</f>
        <v>0</v>
      </c>
      <c r="F90" s="449">
        <v>90</v>
      </c>
      <c r="G90" s="148"/>
      <c r="H90" s="148"/>
      <c r="I90" s="148"/>
      <c r="J90" s="148"/>
      <c r="K90" s="148"/>
      <c r="L90" s="147">
        <f t="shared" ref="L90:U90" si="27">L88+K90</f>
        <v>0</v>
      </c>
      <c r="M90" s="134">
        <f t="shared" si="27"/>
        <v>0</v>
      </c>
      <c r="N90" s="134">
        <f t="shared" si="27"/>
        <v>0</v>
      </c>
      <c r="O90" s="134">
        <f t="shared" si="27"/>
        <v>0</v>
      </c>
      <c r="P90" s="134">
        <f t="shared" si="27"/>
        <v>0</v>
      </c>
      <c r="Q90" s="134">
        <f t="shared" si="27"/>
        <v>0</v>
      </c>
      <c r="R90" s="134">
        <f t="shared" si="27"/>
        <v>0</v>
      </c>
      <c r="S90" s="134">
        <f t="shared" si="27"/>
        <v>0</v>
      </c>
      <c r="T90" s="134">
        <f t="shared" si="27"/>
        <v>0</v>
      </c>
      <c r="U90" s="134">
        <f t="shared" si="27"/>
        <v>0</v>
      </c>
    </row>
    <row r="91" spans="1:21" ht="24" customHeight="1" x14ac:dyDescent="0.3">
      <c r="A91" s="708" t="s">
        <v>168</v>
      </c>
      <c r="B91" s="708"/>
      <c r="C91" s="708"/>
      <c r="D91" s="708"/>
      <c r="E91" s="155">
        <f>E57</f>
        <v>0</v>
      </c>
      <c r="F91" s="449">
        <v>91</v>
      </c>
      <c r="G91" s="148"/>
      <c r="H91" s="148"/>
      <c r="I91" s="148"/>
      <c r="J91" s="148"/>
      <c r="K91" s="148"/>
      <c r="L91" s="147" t="e">
        <v>#DIV/0!</v>
      </c>
      <c r="M91" s="134" t="e">
        <v>#DIV/0!</v>
      </c>
      <c r="N91" s="134" t="e">
        <v>#DIV/0!</v>
      </c>
      <c r="O91" s="122" t="e">
        <v>#DIV/0!</v>
      </c>
      <c r="P91" s="122" t="e">
        <v>#DIV/0!</v>
      </c>
      <c r="Q91" s="122" t="e">
        <v>#DIV/0!</v>
      </c>
      <c r="R91" s="122" t="e">
        <v>#DIV/0!</v>
      </c>
      <c r="S91" s="122" t="e">
        <v>#DIV/0!</v>
      </c>
      <c r="T91" s="122" t="e">
        <v>#DIV/0!</v>
      </c>
      <c r="U91" s="122" t="e">
        <v>#DIV/0!</v>
      </c>
    </row>
    <row r="92" spans="1:21" ht="24" customHeight="1" x14ac:dyDescent="0.3">
      <c r="A92" s="708" t="s">
        <v>412</v>
      </c>
      <c r="B92" s="708"/>
      <c r="C92" s="708"/>
      <c r="D92" s="708"/>
      <c r="E92" s="155">
        <f>'BP FORMAT JUILLET 2023'!F66</f>
        <v>132.11000000000001</v>
      </c>
      <c r="F92" s="449"/>
      <c r="G92" s="148"/>
      <c r="H92" s="148"/>
      <c r="I92" s="148"/>
      <c r="J92" s="148"/>
      <c r="K92" s="148"/>
      <c r="L92" s="147" t="e">
        <v>#DIV/0!</v>
      </c>
      <c r="M92" s="134" t="e">
        <v>#DIV/0!</v>
      </c>
      <c r="N92" s="134" t="e">
        <v>#DIV/0!</v>
      </c>
      <c r="O92" s="122" t="e">
        <v>#DIV/0!</v>
      </c>
      <c r="P92" s="122" t="e">
        <v>#DIV/0!</v>
      </c>
      <c r="Q92" s="122" t="e">
        <v>#DIV/0!</v>
      </c>
      <c r="R92" s="122" t="e">
        <v>#DIV/0!</v>
      </c>
      <c r="S92" s="122" t="e">
        <v>#DIV/0!</v>
      </c>
      <c r="T92" s="122" t="e">
        <v>#DIV/0!</v>
      </c>
      <c r="U92" s="122" t="e">
        <v>#DIV/0!</v>
      </c>
    </row>
    <row r="93" spans="1:21" ht="24" customHeight="1" x14ac:dyDescent="0.3">
      <c r="A93" s="708" t="s">
        <v>169</v>
      </c>
      <c r="B93" s="708"/>
      <c r="C93" s="708"/>
      <c r="D93" s="708"/>
      <c r="E93" s="155">
        <f>'BP FORMAT JUILLET 2023'!F67</f>
        <v>56.34</v>
      </c>
      <c r="F93" s="449"/>
      <c r="G93" s="148"/>
      <c r="H93" s="148"/>
      <c r="I93" s="148"/>
      <c r="J93" s="148"/>
      <c r="K93" s="148"/>
      <c r="L93" s="147" t="e">
        <v>#DIV/0!</v>
      </c>
      <c r="M93" s="134" t="e">
        <v>#DIV/0!</v>
      </c>
      <c r="N93" s="134" t="e">
        <v>#DIV/0!</v>
      </c>
      <c r="O93" s="122" t="e">
        <v>#DIV/0!</v>
      </c>
      <c r="P93" s="122" t="e">
        <v>#DIV/0!</v>
      </c>
      <c r="Q93" s="122" t="e">
        <v>#DIV/0!</v>
      </c>
      <c r="R93" s="122" t="e">
        <v>#DIV/0!</v>
      </c>
      <c r="S93" s="122" t="e">
        <v>#DIV/0!</v>
      </c>
      <c r="T93" s="122" t="e">
        <v>#DIV/0!</v>
      </c>
      <c r="U93" s="122" t="e">
        <v>#DIV/0!</v>
      </c>
    </row>
    <row r="94" spans="1:21" ht="24" customHeight="1" x14ac:dyDescent="0.3">
      <c r="A94" s="708" t="s">
        <v>170</v>
      </c>
      <c r="B94" s="708"/>
      <c r="C94" s="708"/>
      <c r="D94" s="708"/>
      <c r="E94" s="155">
        <f>'BP FORMAT JUILLET 2023'!F68</f>
        <v>0</v>
      </c>
      <c r="F94" s="449"/>
      <c r="G94" s="148"/>
      <c r="H94" s="148"/>
      <c r="I94" s="148"/>
      <c r="J94" s="148"/>
      <c r="K94" s="148"/>
      <c r="L94" s="147" t="e">
        <v>#DIV/0!</v>
      </c>
      <c r="M94" s="134" t="e">
        <v>#DIV/0!</v>
      </c>
      <c r="N94" s="134" t="e">
        <v>#DIV/0!</v>
      </c>
      <c r="O94" s="122" t="e">
        <v>#DIV/0!</v>
      </c>
      <c r="P94" s="122" t="e">
        <v>#DIV/0!</v>
      </c>
      <c r="Q94" s="122" t="e">
        <v>#DIV/0!</v>
      </c>
      <c r="R94" s="122" t="e">
        <v>#DIV/0!</v>
      </c>
      <c r="S94" s="122" t="e">
        <v>#DIV/0!</v>
      </c>
      <c r="T94" s="122" t="e">
        <v>#DIV/0!</v>
      </c>
      <c r="U94" s="122" t="e">
        <v>#DIV/0!</v>
      </c>
    </row>
    <row r="95" spans="1:21" ht="24" customHeight="1" x14ac:dyDescent="0.3">
      <c r="A95" s="708" t="s">
        <v>171</v>
      </c>
      <c r="B95" s="708"/>
      <c r="C95" s="708"/>
      <c r="D95" s="708"/>
      <c r="E95" s="155">
        <f>'BP FORMAT JUILLET 2023'!F69</f>
        <v>0</v>
      </c>
      <c r="F95" s="449"/>
      <c r="G95" s="148"/>
      <c r="H95" s="148"/>
      <c r="I95" s="148"/>
      <c r="J95" s="148"/>
      <c r="K95" s="148"/>
      <c r="L95" s="147">
        <v>0</v>
      </c>
      <c r="M95" s="134">
        <v>0</v>
      </c>
      <c r="N95" s="134" t="e">
        <v>#DIV/0!</v>
      </c>
      <c r="O95" s="122" t="e">
        <v>#DIV/0!</v>
      </c>
      <c r="P95" s="122" t="e">
        <v>#DIV/0!</v>
      </c>
      <c r="Q95" s="122" t="e">
        <v>#DIV/0!</v>
      </c>
      <c r="R95" s="122" t="e">
        <v>#DIV/0!</v>
      </c>
      <c r="S95" s="122" t="e">
        <v>#DIV/0!</v>
      </c>
      <c r="T95" s="122" t="e">
        <v>#DIV/0!</v>
      </c>
      <c r="U95" s="122" t="e">
        <v>#DIV/0!</v>
      </c>
    </row>
    <row r="96" spans="1:21" ht="24" customHeight="1" x14ac:dyDescent="0.3">
      <c r="A96" s="708" t="s">
        <v>172</v>
      </c>
      <c r="B96" s="708"/>
      <c r="C96" s="708"/>
      <c r="D96" s="708"/>
      <c r="E96" s="155">
        <f>'BP FORMAT JUILLET 2023'!F70</f>
        <v>0</v>
      </c>
      <c r="F96" s="449"/>
      <c r="G96" s="148"/>
      <c r="H96" s="148"/>
      <c r="I96" s="148"/>
      <c r="J96" s="148"/>
      <c r="K96" s="148"/>
      <c r="L96" s="147" t="e">
        <v>#DIV/0!</v>
      </c>
      <c r="M96" s="134" t="e">
        <v>#DIV/0!</v>
      </c>
      <c r="N96" s="134" t="e">
        <v>#DIV/0!</v>
      </c>
      <c r="O96" s="122" t="e">
        <v>#DIV/0!</v>
      </c>
      <c r="P96" s="122" t="e">
        <v>#DIV/0!</v>
      </c>
      <c r="Q96" s="122" t="e">
        <v>#DIV/0!</v>
      </c>
      <c r="R96" s="122" t="e">
        <v>#DIV/0!</v>
      </c>
      <c r="S96" s="122" t="e">
        <v>#DIV/0!</v>
      </c>
      <c r="T96" s="122" t="e">
        <v>#DIV/0!</v>
      </c>
      <c r="U96" s="122" t="e">
        <v>#DIV/0!</v>
      </c>
    </row>
    <row r="97" spans="1:21" ht="24" customHeight="1" x14ac:dyDescent="0.3">
      <c r="A97" s="708" t="s">
        <v>173</v>
      </c>
      <c r="B97" s="708"/>
      <c r="C97" s="708"/>
      <c r="D97" s="708"/>
      <c r="E97" s="155">
        <f>'BP FORMAT JUILLET 2023'!F73+'BP FORMAT JUILLET 2023'!F76+'BP FORMAT JUILLET 2023'!F78+'BP FORMAT JUILLET 2023'!F75+'BP FORMAT JUILLET 2023'!F44</f>
        <v>422.80000000000007</v>
      </c>
      <c r="F97" s="449"/>
      <c r="G97" s="148"/>
      <c r="H97" s="148"/>
      <c r="I97" s="148"/>
      <c r="J97" s="148"/>
      <c r="K97" s="148"/>
      <c r="L97" s="147" t="e">
        <v>#DIV/0!</v>
      </c>
      <c r="M97" s="134" t="e">
        <v>#DIV/0!</v>
      </c>
      <c r="N97" s="134" t="e">
        <v>#DIV/0!</v>
      </c>
      <c r="O97" s="122" t="e">
        <v>#DIV/0!</v>
      </c>
      <c r="P97" s="122" t="e">
        <v>#DIV/0!</v>
      </c>
      <c r="Q97" s="122" t="e">
        <v>#DIV/0!</v>
      </c>
      <c r="R97" s="122" t="e">
        <v>#DIV/0!</v>
      </c>
      <c r="S97" s="122" t="e">
        <v>#DIV/0!</v>
      </c>
      <c r="T97" s="122" t="e">
        <v>#DIV/0!</v>
      </c>
      <c r="U97" s="122" t="e">
        <v>#DIV/0!</v>
      </c>
    </row>
    <row r="98" spans="1:21" ht="24" customHeight="1" x14ac:dyDescent="0.3">
      <c r="A98" s="708" t="s">
        <v>174</v>
      </c>
      <c r="B98" s="708"/>
      <c r="C98" s="708"/>
      <c r="D98" s="708"/>
      <c r="E98" s="155">
        <f>'BP FORMAT JUILLET 2023'!G40+'BP FORMAT JUILLET 2023'!G43</f>
        <v>38</v>
      </c>
      <c r="F98" s="449">
        <v>98</v>
      </c>
      <c r="G98" s="148"/>
      <c r="H98" s="148"/>
      <c r="I98" s="148"/>
      <c r="J98" s="148"/>
      <c r="K98" s="148"/>
      <c r="L98" s="147" t="e">
        <v>#DIV/0!</v>
      </c>
      <c r="M98" s="134" t="e">
        <v>#DIV/0!</v>
      </c>
      <c r="N98" s="134" t="e">
        <v>#DIV/0!</v>
      </c>
      <c r="O98" s="122" t="e">
        <v>#DIV/0!</v>
      </c>
      <c r="P98" s="122" t="e">
        <v>#DIV/0!</v>
      </c>
      <c r="Q98" s="122" t="e">
        <v>#DIV/0!</v>
      </c>
      <c r="R98" s="122" t="e">
        <v>#DIV/0!</v>
      </c>
      <c r="S98" s="122" t="e">
        <v>#DIV/0!</v>
      </c>
      <c r="T98" s="122" t="e">
        <v>#DIV/0!</v>
      </c>
      <c r="U98" s="122" t="e">
        <v>#DIV/0!</v>
      </c>
    </row>
    <row r="99" spans="1:21" ht="24" customHeight="1" x14ac:dyDescent="0.3">
      <c r="A99" s="708" t="s">
        <v>406</v>
      </c>
      <c r="B99" s="708"/>
      <c r="C99" s="708"/>
      <c r="D99" s="708"/>
      <c r="E99" s="451">
        <f>'BP FORMAT JUILLET 2023'!G76+'BP FORMAT JUILLET 2023'!G78+'BP FORMAT JUILLET 2023'!G44+'BP FORMAT JUILLET 2023'!G75</f>
        <v>38</v>
      </c>
      <c r="F99" s="449">
        <v>99</v>
      </c>
      <c r="G99" s="52"/>
      <c r="H99" s="52"/>
      <c r="I99" s="52"/>
      <c r="J99" s="52"/>
      <c r="K99" s="52"/>
      <c r="L99" s="52"/>
    </row>
    <row r="100" spans="1:21" ht="24" customHeight="1" x14ac:dyDescent="0.3">
      <c r="A100" s="734" t="s">
        <v>233</v>
      </c>
      <c r="B100" s="734"/>
      <c r="C100" s="734"/>
      <c r="D100" s="734"/>
      <c r="E100" s="452">
        <f>E85+E86+E88+E93+E94+E96-E97+E98+E104</f>
        <v>1571.54</v>
      </c>
      <c r="F100" s="52"/>
      <c r="G100" s="52"/>
      <c r="H100" s="52"/>
      <c r="I100" s="52"/>
      <c r="J100" s="52"/>
      <c r="K100" s="52"/>
      <c r="L100" s="52"/>
    </row>
    <row r="101" spans="1:21" ht="20.25" customHeight="1" x14ac:dyDescent="0.3">
      <c r="C101" s="52"/>
      <c r="E101" s="52"/>
      <c r="F101" s="52"/>
      <c r="G101" s="52"/>
      <c r="H101" s="52"/>
      <c r="I101" s="52"/>
      <c r="J101" s="52"/>
      <c r="K101" s="52"/>
      <c r="L101" s="52"/>
    </row>
    <row r="102" spans="1:21" ht="20.25" customHeight="1" x14ac:dyDescent="0.3">
      <c r="C102" s="52"/>
      <c r="E102" s="52"/>
      <c r="F102" s="52"/>
      <c r="G102" s="52"/>
      <c r="H102" s="52"/>
      <c r="I102" s="52"/>
      <c r="J102" s="52"/>
      <c r="K102" s="52"/>
      <c r="L102" s="52"/>
    </row>
    <row r="103" spans="1:21" ht="20.25" customHeight="1" x14ac:dyDescent="0.3">
      <c r="A103" s="708" t="s">
        <v>229</v>
      </c>
      <c r="B103" s="708"/>
      <c r="C103" s="708"/>
      <c r="D103" s="708"/>
      <c r="E103" s="156">
        <f>+E111</f>
        <v>0</v>
      </c>
      <c r="F103" s="156">
        <f>F111</f>
        <v>0</v>
      </c>
      <c r="G103" s="156"/>
      <c r="H103" s="156"/>
      <c r="I103" s="156"/>
      <c r="J103" s="156"/>
      <c r="K103" s="156">
        <f>+K111</f>
        <v>0</v>
      </c>
      <c r="L103" s="1" t="e">
        <f t="shared" ref="L103:U103" si="28">+L111</f>
        <v>#DIV/0!</v>
      </c>
      <c r="M103" s="135" t="e">
        <f t="shared" si="28"/>
        <v>#DIV/0!</v>
      </c>
      <c r="N103" s="135" t="e">
        <f t="shared" si="28"/>
        <v>#DIV/0!</v>
      </c>
      <c r="O103" s="135" t="e">
        <f t="shared" si="28"/>
        <v>#DIV/0!</v>
      </c>
      <c r="P103" s="135" t="e">
        <f t="shared" si="28"/>
        <v>#DIV/0!</v>
      </c>
      <c r="Q103" s="135" t="e">
        <f t="shared" si="28"/>
        <v>#DIV/0!</v>
      </c>
      <c r="R103" s="135" t="e">
        <f t="shared" si="28"/>
        <v>#DIV/0!</v>
      </c>
      <c r="S103" s="135" t="e">
        <f t="shared" si="28"/>
        <v>#DIV/0!</v>
      </c>
      <c r="T103" s="135" t="e">
        <f t="shared" si="28"/>
        <v>#DIV/0!</v>
      </c>
      <c r="U103" s="135" t="e">
        <f t="shared" si="28"/>
        <v>#DIV/0!</v>
      </c>
    </row>
    <row r="104" spans="1:21" ht="20.25" customHeight="1" x14ac:dyDescent="0.3">
      <c r="A104" s="725" t="s">
        <v>198</v>
      </c>
      <c r="B104" s="726"/>
      <c r="C104" s="726"/>
      <c r="D104" s="727"/>
      <c r="E104" s="156"/>
      <c r="F104" s="156"/>
      <c r="G104" s="156"/>
      <c r="H104" s="156"/>
      <c r="I104" s="156"/>
      <c r="J104" s="156"/>
      <c r="K104" s="156"/>
      <c r="L104" s="1"/>
      <c r="M104" s="135"/>
      <c r="N104" s="135"/>
      <c r="O104" s="135"/>
      <c r="P104" s="135"/>
      <c r="Q104" s="135"/>
      <c r="R104" s="135"/>
      <c r="S104" s="135"/>
      <c r="T104" s="135"/>
      <c r="U104" s="135"/>
    </row>
    <row r="105" spans="1:21" ht="20.25" customHeight="1" x14ac:dyDescent="0.3">
      <c r="A105" s="708" t="s">
        <v>62</v>
      </c>
      <c r="B105" s="708"/>
      <c r="C105" s="708"/>
      <c r="D105" s="708"/>
      <c r="E105" s="156"/>
      <c r="F105" s="156"/>
      <c r="G105" s="156"/>
      <c r="H105" s="156"/>
      <c r="I105" s="156"/>
      <c r="J105" s="156"/>
      <c r="K105" s="156">
        <f t="shared" ref="K105:U105" si="29">K85-K97+K98+K93+K96+K94+K88+K103</f>
        <v>0</v>
      </c>
      <c r="L105" s="136" t="e">
        <f t="shared" si="29"/>
        <v>#DIV/0!</v>
      </c>
      <c r="M105" s="136" t="e">
        <f t="shared" si="29"/>
        <v>#DIV/0!</v>
      </c>
      <c r="N105" s="136" t="e">
        <f t="shared" si="29"/>
        <v>#DIV/0!</v>
      </c>
      <c r="O105" s="136" t="e">
        <f t="shared" si="29"/>
        <v>#DIV/0!</v>
      </c>
      <c r="P105" s="136" t="e">
        <f t="shared" si="29"/>
        <v>#DIV/0!</v>
      </c>
      <c r="Q105" s="136" t="e">
        <f t="shared" si="29"/>
        <v>#DIV/0!</v>
      </c>
      <c r="R105" s="136" t="e">
        <f t="shared" si="29"/>
        <v>#DIV/0!</v>
      </c>
      <c r="S105" s="136" t="e">
        <f t="shared" si="29"/>
        <v>#DIV/0!</v>
      </c>
      <c r="T105" s="136" t="e">
        <f t="shared" si="29"/>
        <v>#DIV/0!</v>
      </c>
      <c r="U105" s="136" t="e">
        <f t="shared" si="29"/>
        <v>#DIV/0!</v>
      </c>
    </row>
    <row r="107" spans="1:21" ht="30.75" customHeight="1" x14ac:dyDescent="0.3">
      <c r="E107" s="154" t="s">
        <v>203</v>
      </c>
      <c r="F107" s="154"/>
      <c r="G107" s="152"/>
      <c r="H107" s="152"/>
      <c r="I107" s="152"/>
      <c r="J107" s="152"/>
      <c r="K107" s="152"/>
      <c r="L107" s="149" t="s">
        <v>158</v>
      </c>
      <c r="M107" s="137" t="s">
        <v>159</v>
      </c>
      <c r="N107" s="137" t="s">
        <v>148</v>
      </c>
      <c r="O107" s="137" t="s">
        <v>149</v>
      </c>
      <c r="P107" s="137" t="s">
        <v>161</v>
      </c>
      <c r="Q107" s="137" t="s">
        <v>162</v>
      </c>
      <c r="R107" s="137" t="s">
        <v>163</v>
      </c>
      <c r="S107" s="137" t="s">
        <v>164</v>
      </c>
      <c r="T107" s="137" t="s">
        <v>165</v>
      </c>
      <c r="U107" s="137" t="s">
        <v>166</v>
      </c>
    </row>
    <row r="108" spans="1:21" ht="20.25" customHeight="1" x14ac:dyDescent="0.3">
      <c r="A108" s="708" t="s">
        <v>175</v>
      </c>
      <c r="B108" s="708"/>
      <c r="C108" s="708"/>
      <c r="D108" s="708"/>
      <c r="E108" s="138">
        <f>C57</f>
        <v>0</v>
      </c>
      <c r="F108" s="138"/>
      <c r="G108" s="153"/>
      <c r="H108" s="153"/>
      <c r="I108" s="153"/>
      <c r="J108" s="153"/>
      <c r="K108" s="104"/>
      <c r="L108" s="150" t="e">
        <f>C60</f>
        <v>#DIV/0!</v>
      </c>
      <c r="M108" s="138" t="e">
        <f>C61</f>
        <v>#DIV/0!</v>
      </c>
      <c r="N108" s="138" t="e">
        <f>C62</f>
        <v>#DIV/0!</v>
      </c>
      <c r="O108" s="138" t="e">
        <f>C63</f>
        <v>#DIV/0!</v>
      </c>
      <c r="P108" s="138" t="e">
        <f>C64</f>
        <v>#DIV/0!</v>
      </c>
      <c r="Q108" s="140" t="e">
        <f>C65</f>
        <v>#DIV/0!</v>
      </c>
      <c r="R108" s="140" t="e">
        <f>C66</f>
        <v>#DIV/0!</v>
      </c>
      <c r="S108" s="140" t="e">
        <f>+C67</f>
        <v>#DIV/0!</v>
      </c>
      <c r="T108" s="140" t="e">
        <f>C68</f>
        <v>#DIV/0!</v>
      </c>
      <c r="U108" s="140" t="e">
        <f>C69</f>
        <v>#DIV/0!</v>
      </c>
    </row>
    <row r="109" spans="1:21" ht="20.25" customHeight="1" x14ac:dyDescent="0.3">
      <c r="A109" s="708" t="s">
        <v>176</v>
      </c>
      <c r="B109" s="708"/>
      <c r="C109" s="708"/>
      <c r="D109" s="708"/>
      <c r="E109" s="138">
        <f>E108</f>
        <v>0</v>
      </c>
      <c r="F109" s="138"/>
      <c r="G109" s="153"/>
      <c r="H109" s="153"/>
      <c r="I109" s="153"/>
      <c r="J109" s="153"/>
      <c r="K109" s="153"/>
      <c r="L109" s="150" t="e">
        <f t="shared" ref="L109:U109" si="30">L108-K108</f>
        <v>#DIV/0!</v>
      </c>
      <c r="M109" s="138" t="e">
        <f t="shared" si="30"/>
        <v>#DIV/0!</v>
      </c>
      <c r="N109" s="138" t="e">
        <f t="shared" si="30"/>
        <v>#DIV/0!</v>
      </c>
      <c r="O109" s="138" t="e">
        <f t="shared" si="30"/>
        <v>#DIV/0!</v>
      </c>
      <c r="P109" s="140" t="e">
        <f t="shared" si="30"/>
        <v>#DIV/0!</v>
      </c>
      <c r="Q109" s="140" t="e">
        <f t="shared" si="30"/>
        <v>#DIV/0!</v>
      </c>
      <c r="R109" s="140" t="e">
        <f t="shared" si="30"/>
        <v>#DIV/0!</v>
      </c>
      <c r="S109" s="140" t="e">
        <f t="shared" si="30"/>
        <v>#DIV/0!</v>
      </c>
      <c r="T109" s="140" t="e">
        <f t="shared" si="30"/>
        <v>#DIV/0!</v>
      </c>
      <c r="U109" s="140" t="e">
        <f t="shared" si="30"/>
        <v>#DIV/0!</v>
      </c>
    </row>
    <row r="110" spans="1:21" ht="20.25" customHeight="1" x14ac:dyDescent="0.3">
      <c r="A110" s="708" t="s">
        <v>230</v>
      </c>
      <c r="B110" s="708"/>
      <c r="C110" s="708"/>
      <c r="D110" s="708"/>
      <c r="E110" s="139">
        <f>IF(E108&lt;8037,0,E108-8037)</f>
        <v>0</v>
      </c>
      <c r="F110" s="139"/>
      <c r="G110" s="104"/>
      <c r="H110" s="104"/>
      <c r="I110" s="104"/>
      <c r="J110" s="104"/>
      <c r="K110" s="104"/>
      <c r="L110" s="151" t="e">
        <f t="shared" ref="L110:U110" si="31">IF(L108&lt;5358,0,L108-5358)</f>
        <v>#DIV/0!</v>
      </c>
      <c r="M110" s="139" t="e">
        <f t="shared" si="31"/>
        <v>#DIV/0!</v>
      </c>
      <c r="N110" s="139" t="e">
        <f t="shared" si="31"/>
        <v>#DIV/0!</v>
      </c>
      <c r="O110" s="139" t="e">
        <f t="shared" si="31"/>
        <v>#DIV/0!</v>
      </c>
      <c r="P110" s="139" t="e">
        <f t="shared" si="31"/>
        <v>#DIV/0!</v>
      </c>
      <c r="Q110" s="139" t="e">
        <f t="shared" si="31"/>
        <v>#DIV/0!</v>
      </c>
      <c r="R110" s="139" t="e">
        <f t="shared" si="31"/>
        <v>#DIV/0!</v>
      </c>
      <c r="S110" s="139" t="e">
        <f t="shared" si="31"/>
        <v>#DIV/0!</v>
      </c>
      <c r="T110" s="139" t="e">
        <f t="shared" si="31"/>
        <v>#DIV/0!</v>
      </c>
      <c r="U110" s="139" t="e">
        <f t="shared" si="31"/>
        <v>#DIV/0!</v>
      </c>
    </row>
    <row r="111" spans="1:21" ht="20.25" customHeight="1" x14ac:dyDescent="0.3">
      <c r="A111" s="708" t="s">
        <v>231</v>
      </c>
      <c r="B111" s="708"/>
      <c r="C111" s="708"/>
      <c r="D111" s="708"/>
      <c r="E111" s="139">
        <f>E110</f>
        <v>0</v>
      </c>
      <c r="F111" s="139"/>
      <c r="G111" s="104"/>
      <c r="H111" s="104"/>
      <c r="I111" s="104"/>
      <c r="J111" s="104"/>
      <c r="K111" s="104"/>
      <c r="L111" s="151" t="e">
        <f t="shared" ref="L111:U111" si="32">L110-K110</f>
        <v>#DIV/0!</v>
      </c>
      <c r="M111" s="139" t="e">
        <f t="shared" si="32"/>
        <v>#DIV/0!</v>
      </c>
      <c r="N111" s="139" t="e">
        <f t="shared" si="32"/>
        <v>#DIV/0!</v>
      </c>
      <c r="O111" s="139" t="e">
        <f t="shared" si="32"/>
        <v>#DIV/0!</v>
      </c>
      <c r="P111" s="139" t="e">
        <f t="shared" si="32"/>
        <v>#DIV/0!</v>
      </c>
      <c r="Q111" s="139" t="e">
        <f t="shared" si="32"/>
        <v>#DIV/0!</v>
      </c>
      <c r="R111" s="139" t="e">
        <f t="shared" si="32"/>
        <v>#DIV/0!</v>
      </c>
      <c r="S111" s="139" t="e">
        <f t="shared" si="32"/>
        <v>#DIV/0!</v>
      </c>
      <c r="T111" s="139" t="e">
        <f t="shared" si="32"/>
        <v>#DIV/0!</v>
      </c>
      <c r="U111" s="139" t="e">
        <f t="shared" si="32"/>
        <v>#DIV/0!</v>
      </c>
    </row>
    <row r="113" spans="1:21" ht="0.75" hidden="1" customHeight="1" x14ac:dyDescent="0.3">
      <c r="E113" s="141" t="s">
        <v>146</v>
      </c>
      <c r="F113" s="141"/>
      <c r="G113" s="141"/>
      <c r="H113" s="141"/>
      <c r="I113" s="141"/>
      <c r="J113" s="141"/>
      <c r="K113" s="141" t="s">
        <v>147</v>
      </c>
      <c r="L113" s="141" t="s">
        <v>158</v>
      </c>
      <c r="M113" s="141" t="s">
        <v>159</v>
      </c>
      <c r="N113" s="141" t="s">
        <v>148</v>
      </c>
      <c r="O113" s="141" t="s">
        <v>149</v>
      </c>
      <c r="P113" s="141" t="s">
        <v>161</v>
      </c>
      <c r="Q113" s="141" t="s">
        <v>162</v>
      </c>
      <c r="R113" s="141" t="s">
        <v>163</v>
      </c>
      <c r="S113" s="141" t="s">
        <v>164</v>
      </c>
      <c r="T113" s="141" t="s">
        <v>165</v>
      </c>
      <c r="U113" s="141" t="s">
        <v>166</v>
      </c>
    </row>
    <row r="114" spans="1:21" ht="0.75" hidden="1" customHeight="1" x14ac:dyDescent="0.3">
      <c r="A114" s="709" t="s">
        <v>177</v>
      </c>
      <c r="B114" s="709"/>
      <c r="C114" s="709"/>
      <c r="D114" s="709"/>
      <c r="E114" s="136">
        <f t="shared" ref="E114:U114" si="33">E85+E88</f>
        <v>1900</v>
      </c>
      <c r="F114" s="136"/>
      <c r="G114" s="136"/>
      <c r="H114" s="136"/>
      <c r="I114" s="136"/>
      <c r="J114" s="136"/>
      <c r="K114" s="136">
        <f t="shared" si="33"/>
        <v>0</v>
      </c>
      <c r="L114" s="136" t="e">
        <f t="shared" si="33"/>
        <v>#DIV/0!</v>
      </c>
      <c r="M114" s="136" t="e">
        <f t="shared" si="33"/>
        <v>#DIV/0!</v>
      </c>
      <c r="N114" s="136" t="e">
        <f t="shared" si="33"/>
        <v>#DIV/0!</v>
      </c>
      <c r="O114" s="136" t="e">
        <f t="shared" si="33"/>
        <v>#DIV/0!</v>
      </c>
      <c r="P114" s="136" t="e">
        <f t="shared" si="33"/>
        <v>#DIV/0!</v>
      </c>
      <c r="Q114" s="136" t="e">
        <f t="shared" si="33"/>
        <v>#DIV/0!</v>
      </c>
      <c r="R114" s="136" t="e">
        <f t="shared" si="33"/>
        <v>#DIV/0!</v>
      </c>
      <c r="S114" s="136" t="e">
        <f t="shared" si="33"/>
        <v>#DIV/0!</v>
      </c>
      <c r="T114" s="136" t="e">
        <f t="shared" si="33"/>
        <v>#DIV/0!</v>
      </c>
      <c r="U114" s="136" t="e">
        <f t="shared" si="33"/>
        <v>#DIV/0!</v>
      </c>
    </row>
    <row r="115" spans="1:21" ht="0.75" hidden="1" customHeight="1" x14ac:dyDescent="0.3">
      <c r="A115" s="709" t="s">
        <v>178</v>
      </c>
      <c r="B115" s="709"/>
      <c r="C115" s="709"/>
      <c r="D115" s="709"/>
      <c r="E115" s="136">
        <f>E91</f>
        <v>0</v>
      </c>
      <c r="F115" s="136"/>
      <c r="G115" s="136"/>
      <c r="H115" s="136"/>
      <c r="I115" s="136"/>
      <c r="J115" s="136"/>
      <c r="K115" s="136">
        <f>K91</f>
        <v>0</v>
      </c>
      <c r="L115" s="136" t="e">
        <f>L91</f>
        <v>#DIV/0!</v>
      </c>
      <c r="M115" s="136" t="e">
        <f>M91</f>
        <v>#DIV/0!</v>
      </c>
      <c r="N115" s="136" t="e">
        <f>N91</f>
        <v>#DIV/0!</v>
      </c>
      <c r="O115" s="122" t="e">
        <f t="shared" ref="O115:U115" si="34">+O91</f>
        <v>#DIV/0!</v>
      </c>
      <c r="P115" s="122" t="e">
        <f t="shared" si="34"/>
        <v>#DIV/0!</v>
      </c>
      <c r="Q115" s="122" t="e">
        <f t="shared" si="34"/>
        <v>#DIV/0!</v>
      </c>
      <c r="R115" s="122" t="e">
        <f t="shared" si="34"/>
        <v>#DIV/0!</v>
      </c>
      <c r="S115" s="122" t="e">
        <f t="shared" si="34"/>
        <v>#DIV/0!</v>
      </c>
      <c r="T115" s="122" t="e">
        <f t="shared" si="34"/>
        <v>#DIV/0!</v>
      </c>
      <c r="U115" s="122" t="e">
        <f t="shared" si="34"/>
        <v>#DIV/0!</v>
      </c>
    </row>
    <row r="116" spans="1:21" ht="0.75" hidden="1" customHeight="1" x14ac:dyDescent="0.3">
      <c r="A116" s="709" t="s">
        <v>179</v>
      </c>
      <c r="B116" s="709"/>
      <c r="C116" s="709"/>
      <c r="D116" s="709"/>
      <c r="E116" s="136">
        <f>E114+E115</f>
        <v>1900</v>
      </c>
      <c r="F116" s="136"/>
      <c r="G116" s="136"/>
      <c r="H116" s="136"/>
      <c r="I116" s="136"/>
      <c r="J116" s="136"/>
      <c r="K116" s="136">
        <f>K115+K114+E116</f>
        <v>1900</v>
      </c>
      <c r="L116" s="136" t="e">
        <f t="shared" ref="L116:U116" si="35">L115+L114+K116</f>
        <v>#DIV/0!</v>
      </c>
      <c r="M116" s="136" t="e">
        <f t="shared" si="35"/>
        <v>#DIV/0!</v>
      </c>
      <c r="N116" s="136" t="e">
        <f t="shared" si="35"/>
        <v>#DIV/0!</v>
      </c>
      <c r="O116" s="136" t="e">
        <f t="shared" si="35"/>
        <v>#DIV/0!</v>
      </c>
      <c r="P116" s="136" t="e">
        <f t="shared" si="35"/>
        <v>#DIV/0!</v>
      </c>
      <c r="Q116" s="136" t="e">
        <f t="shared" si="35"/>
        <v>#DIV/0!</v>
      </c>
      <c r="R116" s="136" t="e">
        <f t="shared" si="35"/>
        <v>#DIV/0!</v>
      </c>
      <c r="S116" s="136" t="e">
        <f t="shared" si="35"/>
        <v>#DIV/0!</v>
      </c>
      <c r="T116" s="136" t="e">
        <f t="shared" si="35"/>
        <v>#DIV/0!</v>
      </c>
      <c r="U116" s="136" t="e">
        <f t="shared" si="35"/>
        <v>#DIV/0!</v>
      </c>
    </row>
    <row r="117" spans="1:21" ht="0.75" hidden="1" customHeight="1" x14ac:dyDescent="0.3">
      <c r="A117" s="709" t="s">
        <v>180</v>
      </c>
      <c r="B117" s="709"/>
      <c r="C117" s="709"/>
      <c r="D117" s="709"/>
      <c r="E117" s="136">
        <f>D24</f>
        <v>3428</v>
      </c>
      <c r="F117" s="136"/>
      <c r="G117" s="136"/>
      <c r="H117" s="136"/>
      <c r="I117" s="136"/>
      <c r="J117" s="136"/>
      <c r="K117" s="136">
        <f>D25</f>
        <v>3428</v>
      </c>
      <c r="L117" s="136">
        <f>D26</f>
        <v>3428</v>
      </c>
      <c r="M117" s="136">
        <f>D27</f>
        <v>3428</v>
      </c>
      <c r="N117" s="136">
        <f>D28</f>
        <v>3428</v>
      </c>
      <c r="O117" s="98">
        <f>D29</f>
        <v>3428</v>
      </c>
      <c r="P117" s="98">
        <f>D30</f>
        <v>3428</v>
      </c>
      <c r="Q117" s="100"/>
      <c r="R117" s="100"/>
      <c r="S117" s="100"/>
      <c r="T117" s="100"/>
      <c r="U117" s="100"/>
    </row>
    <row r="118" spans="1:21" ht="0.75" hidden="1" customHeight="1" x14ac:dyDescent="0.3">
      <c r="A118" s="709" t="s">
        <v>181</v>
      </c>
      <c r="B118" s="709"/>
      <c r="C118" s="709"/>
      <c r="D118" s="709"/>
      <c r="E118" s="136">
        <f t="shared" ref="E118:U118" si="36">4*E117</f>
        <v>13712</v>
      </c>
      <c r="F118" s="136"/>
      <c r="G118" s="136"/>
      <c r="H118" s="136"/>
      <c r="I118" s="136"/>
      <c r="J118" s="136"/>
      <c r="K118" s="136">
        <f t="shared" si="36"/>
        <v>13712</v>
      </c>
      <c r="L118" s="136">
        <f t="shared" si="36"/>
        <v>13712</v>
      </c>
      <c r="M118" s="136">
        <f t="shared" si="36"/>
        <v>13712</v>
      </c>
      <c r="N118" s="136">
        <f t="shared" si="36"/>
        <v>13712</v>
      </c>
      <c r="O118" s="136">
        <f t="shared" si="36"/>
        <v>13712</v>
      </c>
      <c r="P118" s="136">
        <f t="shared" si="36"/>
        <v>13712</v>
      </c>
      <c r="Q118" s="136">
        <f t="shared" si="36"/>
        <v>0</v>
      </c>
      <c r="R118" s="136">
        <f t="shared" si="36"/>
        <v>0</v>
      </c>
      <c r="S118" s="136">
        <f t="shared" si="36"/>
        <v>0</v>
      </c>
      <c r="T118" s="136">
        <f t="shared" si="36"/>
        <v>0</v>
      </c>
      <c r="U118" s="136">
        <f t="shared" si="36"/>
        <v>0</v>
      </c>
    </row>
    <row r="119" spans="1:21" ht="0.75" hidden="1" customHeight="1" x14ac:dyDescent="0.3">
      <c r="A119" s="713" t="s">
        <v>182</v>
      </c>
      <c r="B119" s="714"/>
      <c r="C119" s="714"/>
      <c r="D119" s="715"/>
      <c r="E119" s="136">
        <v>245.54</v>
      </c>
      <c r="F119" s="136"/>
      <c r="G119" s="136"/>
      <c r="H119" s="136"/>
      <c r="I119" s="136"/>
      <c r="J119" s="136"/>
      <c r="K119" s="136">
        <v>0</v>
      </c>
      <c r="L119" s="136" t="e">
        <v>#DIV/0!</v>
      </c>
      <c r="M119" s="136" t="e">
        <v>#DIV/0!</v>
      </c>
      <c r="N119" s="136" t="e">
        <v>#DIV/0!</v>
      </c>
      <c r="O119" s="136" t="e">
        <v>#DIV/0!</v>
      </c>
      <c r="P119" s="122" t="e">
        <v>#DIV/0!</v>
      </c>
      <c r="Q119" s="100"/>
      <c r="R119" s="100"/>
      <c r="S119" s="100"/>
      <c r="T119" s="100"/>
      <c r="U119" s="100"/>
    </row>
    <row r="120" spans="1:21" ht="0.75" hidden="1" customHeight="1" x14ac:dyDescent="0.3">
      <c r="A120" s="709" t="s">
        <v>183</v>
      </c>
      <c r="B120" s="709"/>
      <c r="C120" s="709"/>
      <c r="D120" s="709"/>
      <c r="E120" s="101">
        <f t="shared" ref="E120:U120" si="37">IF(E114&lt;=E118,E114*0.9825+E119,E118*0.9825+E114-E118+E119)</f>
        <v>2112.29</v>
      </c>
      <c r="F120" s="101"/>
      <c r="G120" s="101"/>
      <c r="H120" s="101"/>
      <c r="I120" s="101"/>
      <c r="J120" s="101"/>
      <c r="K120" s="101">
        <f t="shared" si="37"/>
        <v>0</v>
      </c>
      <c r="L120" s="101" t="e">
        <f t="shared" si="37"/>
        <v>#DIV/0!</v>
      </c>
      <c r="M120" s="101" t="e">
        <f t="shared" si="37"/>
        <v>#DIV/0!</v>
      </c>
      <c r="N120" s="101" t="e">
        <f t="shared" si="37"/>
        <v>#DIV/0!</v>
      </c>
      <c r="O120" s="101" t="e">
        <f t="shared" si="37"/>
        <v>#DIV/0!</v>
      </c>
      <c r="P120" s="101" t="e">
        <f t="shared" si="37"/>
        <v>#DIV/0!</v>
      </c>
      <c r="Q120" s="101" t="e">
        <f t="shared" si="37"/>
        <v>#DIV/0!</v>
      </c>
      <c r="R120" s="101" t="e">
        <f t="shared" si="37"/>
        <v>#DIV/0!</v>
      </c>
      <c r="S120" s="101" t="e">
        <f t="shared" si="37"/>
        <v>#DIV/0!</v>
      </c>
      <c r="T120" s="101" t="e">
        <f t="shared" si="37"/>
        <v>#DIV/0!</v>
      </c>
      <c r="U120" s="101" t="e">
        <f t="shared" si="37"/>
        <v>#DIV/0!</v>
      </c>
    </row>
    <row r="121" spans="1:21" ht="0.75" hidden="1" customHeight="1" x14ac:dyDescent="0.3">
      <c r="A121" s="709" t="s">
        <v>184</v>
      </c>
      <c r="B121" s="709"/>
      <c r="C121" s="709"/>
      <c r="D121" s="709"/>
      <c r="E121" s="4"/>
      <c r="F121" s="4"/>
      <c r="G121" s="4"/>
      <c r="H121" s="4"/>
      <c r="I121" s="4"/>
      <c r="J121" s="4"/>
      <c r="K121" s="4"/>
      <c r="L121" s="4"/>
      <c r="M121" s="4"/>
      <c r="N121" s="4"/>
      <c r="O121" s="4"/>
    </row>
    <row r="122" spans="1:21" ht="0.75" hidden="1" customHeight="1" x14ac:dyDescent="0.3"/>
    <row r="123" spans="1:21" ht="0.75" hidden="1" customHeight="1" x14ac:dyDescent="0.3"/>
    <row r="124" spans="1:21" ht="0.75" hidden="1" customHeight="1" x14ac:dyDescent="0.3">
      <c r="B124" s="4">
        <v>13000</v>
      </c>
      <c r="D124" s="57">
        <v>1000</v>
      </c>
    </row>
    <row r="125" spans="1:21" x14ac:dyDescent="0.3">
      <c r="B125" t="s">
        <v>408</v>
      </c>
      <c r="C125" s="2">
        <f>'BP FORMAT JUILLET 2023'!C33</f>
        <v>3925</v>
      </c>
    </row>
    <row r="126" spans="1:21" x14ac:dyDescent="0.3">
      <c r="I126" s="10"/>
    </row>
    <row r="127" spans="1:21" x14ac:dyDescent="0.3">
      <c r="A127" t="s">
        <v>187</v>
      </c>
    </row>
    <row r="129" spans="1:11" s="58" customFormat="1" x14ac:dyDescent="0.3">
      <c r="A129">
        <v>3</v>
      </c>
      <c r="B129" s="730" t="s">
        <v>190</v>
      </c>
      <c r="C129" s="731"/>
      <c r="D129" s="460">
        <f>4*C125</f>
        <v>15700</v>
      </c>
      <c r="F129" s="63"/>
      <c r="H129" s="456"/>
    </row>
    <row r="130" spans="1:11" s="58" customFormat="1" x14ac:dyDescent="0.3">
      <c r="A130">
        <v>4</v>
      </c>
      <c r="B130" s="665" t="s">
        <v>188</v>
      </c>
      <c r="C130" s="667"/>
      <c r="D130" s="460">
        <f>E85+E90</f>
        <v>1900</v>
      </c>
      <c r="E130" s="453"/>
      <c r="F130" s="454"/>
      <c r="K130" s="164"/>
    </row>
    <row r="131" spans="1:11" s="58" customFormat="1" x14ac:dyDescent="0.3">
      <c r="A131">
        <v>5</v>
      </c>
      <c r="B131" s="665" t="s">
        <v>189</v>
      </c>
      <c r="C131" s="667"/>
      <c r="D131" s="460">
        <f>E57</f>
        <v>0</v>
      </c>
      <c r="E131" s="453"/>
      <c r="F131" s="454"/>
      <c r="K131" s="164"/>
    </row>
    <row r="132" spans="1:11" s="58" customFormat="1" x14ac:dyDescent="0.3">
      <c r="A132">
        <v>6</v>
      </c>
      <c r="B132" s="665" t="s">
        <v>411</v>
      </c>
      <c r="C132" s="667"/>
      <c r="D132" s="461">
        <f>G57</f>
        <v>0</v>
      </c>
      <c r="E132" s="453"/>
      <c r="F132" s="454"/>
      <c r="H132" s="457"/>
      <c r="K132" s="164"/>
    </row>
    <row r="133" spans="1:11" s="58" customFormat="1" x14ac:dyDescent="0.3">
      <c r="A133">
        <v>7</v>
      </c>
      <c r="B133" s="665" t="s">
        <v>186</v>
      </c>
      <c r="C133" s="667"/>
      <c r="D133" s="460">
        <f>D130+D131+D132</f>
        <v>1900</v>
      </c>
      <c r="E133" s="455"/>
      <c r="F133" s="454"/>
      <c r="H133" s="457"/>
    </row>
    <row r="134" spans="1:11" s="58" customFormat="1" x14ac:dyDescent="0.3">
      <c r="A134">
        <v>8</v>
      </c>
      <c r="B134" s="665" t="s">
        <v>191</v>
      </c>
      <c r="C134" s="667"/>
      <c r="D134" s="460">
        <f>E98+E99</f>
        <v>76</v>
      </c>
      <c r="H134" s="165"/>
      <c r="I134" s="165"/>
    </row>
    <row r="135" spans="1:11" s="58" customFormat="1" x14ac:dyDescent="0.3">
      <c r="A135">
        <v>9</v>
      </c>
      <c r="F135" s="309" t="s">
        <v>60</v>
      </c>
      <c r="H135" s="165"/>
      <c r="I135" s="165"/>
      <c r="K135" s="63"/>
    </row>
    <row r="136" spans="1:11" s="58" customFormat="1" x14ac:dyDescent="0.3">
      <c r="A136">
        <v>10</v>
      </c>
      <c r="B136" s="710" t="s">
        <v>197</v>
      </c>
      <c r="C136" s="711"/>
      <c r="D136" s="712"/>
      <c r="E136" s="59">
        <v>6.8000000000000005E-2</v>
      </c>
      <c r="F136" s="167">
        <f>IF(D133&lt;D129,D130*0.9825+D134,IF(D130&gt;D129,D129*0.9825+D130-D129+D134, D130*0.9825+D134))</f>
        <v>1942.75</v>
      </c>
      <c r="H136" s="10"/>
      <c r="I136" s="166"/>
    </row>
    <row r="137" spans="1:11" s="58" customFormat="1" x14ac:dyDescent="0.3">
      <c r="A137">
        <v>11</v>
      </c>
      <c r="B137" s="710" t="s">
        <v>192</v>
      </c>
      <c r="C137" s="711"/>
      <c r="D137" s="712"/>
      <c r="E137" s="59">
        <v>6.8000000000000005E-2</v>
      </c>
      <c r="F137" s="458">
        <f>IF(D133&gt;D129,IF(D130&gt;D129,D131,IF((D129-D130)&gt;D132,(D129-D130-D132)*0.9825+D131-(D129-D130-D132),D131)),D131*0.9825)</f>
        <v>0</v>
      </c>
      <c r="H137" s="166"/>
      <c r="I137" s="166"/>
      <c r="J137" s="63"/>
    </row>
    <row r="138" spans="1:11" s="58" customFormat="1" x14ac:dyDescent="0.3">
      <c r="A138">
        <v>12</v>
      </c>
      <c r="B138" s="710" t="s">
        <v>193</v>
      </c>
      <c r="C138" s="711"/>
      <c r="D138" s="712"/>
      <c r="E138" s="59">
        <v>6.8000000000000005E-2</v>
      </c>
      <c r="F138" s="459">
        <f>IF(D133&lt;D129,D132*0.9825,IF(D130&gt;D129,D132,IF((D129-D130)&gt;D132,D132*0.9825,(D129-D130)*0.9825+D132-(D129-D130))))</f>
        <v>0</v>
      </c>
      <c r="H138" s="63"/>
    </row>
    <row r="139" spans="1:11" s="58" customFormat="1" x14ac:dyDescent="0.3">
      <c r="A139">
        <v>13</v>
      </c>
      <c r="B139" s="710" t="s">
        <v>194</v>
      </c>
      <c r="C139" s="711"/>
      <c r="D139" s="712"/>
      <c r="E139" s="59">
        <v>2.9000000000000001E-2</v>
      </c>
      <c r="F139" s="61">
        <f>F136</f>
        <v>1942.75</v>
      </c>
    </row>
    <row r="140" spans="1:11" s="58" customFormat="1" x14ac:dyDescent="0.3">
      <c r="A140">
        <v>14</v>
      </c>
      <c r="B140" s="710" t="s">
        <v>195</v>
      </c>
      <c r="C140" s="711"/>
      <c r="D140" s="712"/>
      <c r="E140" s="59">
        <v>2.9000000000000001E-2</v>
      </c>
      <c r="F140" s="61">
        <f>F137+F138</f>
        <v>0</v>
      </c>
    </row>
    <row r="141" spans="1:11" s="58" customFormat="1" x14ac:dyDescent="0.3">
      <c r="A141">
        <v>15</v>
      </c>
      <c r="B141" s="710" t="s">
        <v>196</v>
      </c>
      <c r="C141" s="711"/>
      <c r="D141" s="712"/>
      <c r="E141" s="183">
        <f>'HEURES SUPPLEMENTAIRES '!D57</f>
        <v>0.11310000000000001</v>
      </c>
      <c r="F141" s="61">
        <f>D131</f>
        <v>0</v>
      </c>
    </row>
    <row r="143" spans="1:11" x14ac:dyDescent="0.3">
      <c r="A143" t="s">
        <v>481</v>
      </c>
    </row>
    <row r="144" spans="1:11" x14ac:dyDescent="0.3">
      <c r="A144" s="517">
        <v>45778</v>
      </c>
      <c r="B144" t="s">
        <v>482</v>
      </c>
    </row>
    <row r="145" spans="1:2" x14ac:dyDescent="0.3">
      <c r="A145" s="518">
        <f>IF('MASQUE DE SAISIE '!G9&lt;20,IF('MASQUE DE SAISIE '!E38&lt;A144,('BP FORMAT JUILLET 2023'!G20+'BP FORMAT JUILLET 2023'!G21+'BP FORMAT JUILLET 2023'!G22)*1.5,0),IF('MASQUE DE SAISIE '!G9&gt;=250,0,0.5*('BP FORMAT JUILLET 2023'!G20+'BP FORMAT JUILLET 2023'!G21+'BP FORMAT JUILLET 2023'!G22)))</f>
        <v>0</v>
      </c>
      <c r="B145" t="s">
        <v>483</v>
      </c>
    </row>
  </sheetData>
  <mergeCells count="62">
    <mergeCell ref="B140:D140"/>
    <mergeCell ref="B141:D141"/>
    <mergeCell ref="B132:C132"/>
    <mergeCell ref="A86:D86"/>
    <mergeCell ref="A87:D87"/>
    <mergeCell ref="A95:D95"/>
    <mergeCell ref="A105:D105"/>
    <mergeCell ref="A108:D108"/>
    <mergeCell ref="A109:D109"/>
    <mergeCell ref="A97:D97"/>
    <mergeCell ref="A98:D98"/>
    <mergeCell ref="A103:D103"/>
    <mergeCell ref="A96:D96"/>
    <mergeCell ref="A99:D99"/>
    <mergeCell ref="A100:D100"/>
    <mergeCell ref="A104:D104"/>
    <mergeCell ref="B50:C50"/>
    <mergeCell ref="A19:M19"/>
    <mergeCell ref="A93:D93"/>
    <mergeCell ref="A90:D90"/>
    <mergeCell ref="B130:C130"/>
    <mergeCell ref="B54:K54"/>
    <mergeCell ref="A85:D85"/>
    <mergeCell ref="A88:D88"/>
    <mergeCell ref="A91:D91"/>
    <mergeCell ref="A92:D92"/>
    <mergeCell ref="A89:D89"/>
    <mergeCell ref="B129:C129"/>
    <mergeCell ref="A115:D115"/>
    <mergeCell ref="A117:D117"/>
    <mergeCell ref="A121:D121"/>
    <mergeCell ref="A94:D94"/>
    <mergeCell ref="N19:Q19"/>
    <mergeCell ref="N21:Q21"/>
    <mergeCell ref="B49:C49"/>
    <mergeCell ref="B40:C40"/>
    <mergeCell ref="B41:C41"/>
    <mergeCell ref="B42:C42"/>
    <mergeCell ref="B45:C45"/>
    <mergeCell ref="B46:C46"/>
    <mergeCell ref="B47:C47"/>
    <mergeCell ref="B48:C48"/>
    <mergeCell ref="G38:K38"/>
    <mergeCell ref="B21:I21"/>
    <mergeCell ref="E38:F38"/>
    <mergeCell ref="B43:C43"/>
    <mergeCell ref="B44:C44"/>
    <mergeCell ref="B38:C38"/>
    <mergeCell ref="A111:D111"/>
    <mergeCell ref="A114:D114"/>
    <mergeCell ref="A110:D110"/>
    <mergeCell ref="B138:D138"/>
    <mergeCell ref="B139:D139"/>
    <mergeCell ref="B131:C131"/>
    <mergeCell ref="B133:C133"/>
    <mergeCell ref="B134:C134"/>
    <mergeCell ref="B136:D136"/>
    <mergeCell ref="B137:D137"/>
    <mergeCell ref="A118:D118"/>
    <mergeCell ref="A119:D119"/>
    <mergeCell ref="A120:D120"/>
    <mergeCell ref="A116:D116"/>
  </mergeCells>
  <printOptions horizontalCentered="1" verticalCentered="1"/>
  <pageMargins left="0.11811023622047245" right="0.11811023622047245" top="0.15748031496062992" bottom="0.15748031496062992" header="0.31496062992125984" footer="0.31496062992125984"/>
  <pageSetup paperSize="9" scale="75" orientation="landscape" cellComments="asDisplayed" horizontalDpi="300" verticalDpi="300" r:id="rId1"/>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FAA0C9-9CE9-4EFE-A379-72B15F2E1AC8}">
  <dimension ref="A1:I90"/>
  <sheetViews>
    <sheetView topLeftCell="B5" workbookViewId="0">
      <selection activeCell="B5" sqref="A1:XFD1048576"/>
    </sheetView>
  </sheetViews>
  <sheetFormatPr baseColWidth="10" defaultRowHeight="14.4" x14ac:dyDescent="0.3"/>
  <cols>
    <col min="1" max="1" width="4" hidden="1" customWidth="1"/>
    <col min="2" max="2" width="29" customWidth="1"/>
    <col min="3" max="3" width="19" customWidth="1"/>
    <col min="4" max="4" width="19" style="293" customWidth="1"/>
    <col min="5" max="5" width="19" style="30" customWidth="1"/>
    <col min="6" max="6" width="19" style="36" customWidth="1"/>
  </cols>
  <sheetData>
    <row r="1" spans="1:6" ht="48" customHeight="1" x14ac:dyDescent="0.3">
      <c r="B1" s="740" t="s">
        <v>69</v>
      </c>
      <c r="C1" s="741"/>
      <c r="D1" s="28" t="s">
        <v>70</v>
      </c>
      <c r="E1" s="272" t="s">
        <v>71</v>
      </c>
    </row>
    <row r="2" spans="1:6" ht="19.5" customHeight="1" x14ac:dyDescent="0.3">
      <c r="B2" s="742" t="s">
        <v>270</v>
      </c>
      <c r="C2" s="743"/>
      <c r="D2" s="28"/>
      <c r="E2" s="272"/>
    </row>
    <row r="3" spans="1:6" s="58" customFormat="1" ht="19.5" customHeight="1" x14ac:dyDescent="0.25">
      <c r="A3" s="203" t="s">
        <v>82</v>
      </c>
      <c r="B3" s="744" t="s">
        <v>279</v>
      </c>
      <c r="C3" s="745"/>
      <c r="D3" s="205"/>
      <c r="E3" s="205">
        <v>7.0000000000000007E-2</v>
      </c>
      <c r="F3" s="206"/>
    </row>
    <row r="4" spans="1:6" s="58" customFormat="1" ht="19.5" customHeight="1" x14ac:dyDescent="0.25">
      <c r="A4" s="203" t="s">
        <v>82</v>
      </c>
      <c r="B4" s="746" t="s">
        <v>206</v>
      </c>
      <c r="C4" s="747"/>
      <c r="D4" s="205"/>
      <c r="E4" s="205">
        <v>0.06</v>
      </c>
      <c r="F4" s="65"/>
    </row>
    <row r="5" spans="1:6" s="58" customFormat="1" ht="19.5" customHeight="1" x14ac:dyDescent="0.25">
      <c r="A5" s="203" t="s">
        <v>82</v>
      </c>
      <c r="B5" s="746" t="s">
        <v>202</v>
      </c>
      <c r="C5" s="747"/>
      <c r="D5" s="388"/>
      <c r="E5" s="388"/>
      <c r="F5" s="753"/>
    </row>
    <row r="6" spans="1:6" s="58" customFormat="1" ht="19.5" customHeight="1" x14ac:dyDescent="0.25">
      <c r="A6" s="203" t="s">
        <v>82</v>
      </c>
      <c r="B6" s="746" t="s">
        <v>256</v>
      </c>
      <c r="C6" s="747"/>
      <c r="D6" s="205"/>
      <c r="E6" s="205"/>
      <c r="F6" s="753"/>
    </row>
    <row r="7" spans="1:6" s="58" customFormat="1" ht="19.5" customHeight="1" x14ac:dyDescent="0.25">
      <c r="B7" s="754"/>
      <c r="C7" s="755"/>
      <c r="D7" s="755"/>
      <c r="E7" s="756"/>
      <c r="F7" s="273"/>
    </row>
    <row r="8" spans="1:6" s="58" customFormat="1" ht="19.5" customHeight="1" x14ac:dyDescent="0.25">
      <c r="B8" s="777" t="s">
        <v>38</v>
      </c>
      <c r="C8" s="778"/>
      <c r="D8" s="274"/>
      <c r="E8" s="275"/>
    </row>
    <row r="9" spans="1:6" s="58" customFormat="1" ht="19.5" customHeight="1" x14ac:dyDescent="0.25">
      <c r="B9" s="775" t="s">
        <v>271</v>
      </c>
      <c r="C9" s="776"/>
      <c r="D9" s="31"/>
      <c r="E9" s="31"/>
    </row>
    <row r="10" spans="1:6" s="58" customFormat="1" ht="19.5" customHeight="1" x14ac:dyDescent="0.25">
      <c r="B10" s="594" t="s">
        <v>257</v>
      </c>
      <c r="C10" s="595"/>
      <c r="D10" s="32"/>
      <c r="E10" s="204">
        <v>3.4500000000000003E-2</v>
      </c>
    </row>
    <row r="11" spans="1:6" s="58" customFormat="1" ht="19.5" customHeight="1" x14ac:dyDescent="0.25">
      <c r="B11" s="659" t="s">
        <v>258</v>
      </c>
      <c r="C11" s="599"/>
      <c r="D11" s="32"/>
      <c r="E11" s="208">
        <v>1.7999999999999999E-2</v>
      </c>
    </row>
    <row r="12" spans="1:6" s="58" customFormat="1" ht="19.5" customHeight="1" x14ac:dyDescent="0.25">
      <c r="B12" s="779" t="s">
        <v>272</v>
      </c>
      <c r="C12" s="780"/>
      <c r="D12" s="276"/>
      <c r="E12" s="207"/>
    </row>
    <row r="13" spans="1:6" s="58" customFormat="1" ht="19.5" customHeight="1" x14ac:dyDescent="0.25">
      <c r="B13" s="757" t="s">
        <v>210</v>
      </c>
      <c r="C13" s="758"/>
      <c r="D13" s="209"/>
      <c r="E13" s="209">
        <v>4.0500000000000001E-2</v>
      </c>
    </row>
    <row r="14" spans="1:6" s="58" customFormat="1" ht="19.5" customHeight="1" x14ac:dyDescent="0.25">
      <c r="B14" s="757" t="s">
        <v>226</v>
      </c>
      <c r="C14" s="758"/>
      <c r="D14" s="209"/>
      <c r="E14" s="209">
        <v>2.5000000000000001E-3</v>
      </c>
    </row>
    <row r="15" spans="1:6" s="58" customFormat="1" ht="19.5" customHeight="1" x14ac:dyDescent="0.25">
      <c r="B15" s="759" t="s">
        <v>285</v>
      </c>
      <c r="C15" s="760"/>
      <c r="D15" s="277">
        <v>2.4000000000000001E-4</v>
      </c>
      <c r="E15" s="278">
        <v>3.6000000000000002E-4</v>
      </c>
    </row>
    <row r="16" spans="1:6" s="58" customFormat="1" ht="19.5" customHeight="1" x14ac:dyDescent="0.25">
      <c r="B16" s="761" t="s">
        <v>39</v>
      </c>
      <c r="C16" s="762"/>
      <c r="D16" s="762"/>
      <c r="E16" s="762"/>
    </row>
    <row r="17" spans="1:6" s="58" customFormat="1" ht="19.5" customHeight="1" x14ac:dyDescent="0.25">
      <c r="B17" s="751" t="s">
        <v>40</v>
      </c>
      <c r="C17" s="752"/>
      <c r="D17" s="204">
        <v>6.9000000000000006E-2</v>
      </c>
      <c r="E17" s="204">
        <v>8.5500000000000007E-2</v>
      </c>
    </row>
    <row r="18" spans="1:6" s="58" customFormat="1" ht="19.5" customHeight="1" x14ac:dyDescent="0.25">
      <c r="B18" s="751" t="s">
        <v>41</v>
      </c>
      <c r="C18" s="752"/>
      <c r="D18" s="204">
        <v>4.0000000000000001E-3</v>
      </c>
      <c r="E18" s="493">
        <v>2.0199999999999999E-2</v>
      </c>
    </row>
    <row r="19" spans="1:6" s="58" customFormat="1" ht="19.5" customHeight="1" x14ac:dyDescent="0.25">
      <c r="B19" s="751" t="s">
        <v>42</v>
      </c>
      <c r="C19" s="752"/>
      <c r="D19" s="204">
        <v>3.15E-2</v>
      </c>
      <c r="E19" s="204">
        <v>4.7199999999999999E-2</v>
      </c>
    </row>
    <row r="20" spans="1:6" s="58" customFormat="1" ht="19.5" customHeight="1" x14ac:dyDescent="0.25">
      <c r="B20" s="751" t="s">
        <v>43</v>
      </c>
      <c r="C20" s="752"/>
      <c r="D20" s="204">
        <v>8.6400000000000005E-2</v>
      </c>
      <c r="E20" s="204">
        <v>0.1295</v>
      </c>
    </row>
    <row r="21" spans="1:6" s="58" customFormat="1" ht="19.5" customHeight="1" x14ac:dyDescent="0.25">
      <c r="B21" s="751" t="s">
        <v>75</v>
      </c>
      <c r="C21" s="752"/>
      <c r="D21" s="204">
        <v>8.6E-3</v>
      </c>
      <c r="E21" s="204">
        <v>1.29E-2</v>
      </c>
    </row>
    <row r="22" spans="1:6" s="58" customFormat="1" ht="19.5" customHeight="1" x14ac:dyDescent="0.25">
      <c r="B22" s="751" t="s">
        <v>76</v>
      </c>
      <c r="C22" s="752"/>
      <c r="D22" s="204">
        <v>1.0800000000000001E-2</v>
      </c>
      <c r="E22" s="204">
        <v>1.6199999999999999E-2</v>
      </c>
    </row>
    <row r="23" spans="1:6" s="58" customFormat="1" ht="19.5" customHeight="1" x14ac:dyDescent="0.25">
      <c r="B23" s="751" t="s">
        <v>77</v>
      </c>
      <c r="C23" s="752"/>
      <c r="D23" s="204">
        <v>1.4E-3</v>
      </c>
      <c r="E23" s="204">
        <v>2.0999999999999999E-3</v>
      </c>
    </row>
    <row r="24" spans="1:6" s="58" customFormat="1" ht="19.5" customHeight="1" x14ac:dyDescent="0.25">
      <c r="B24" s="751" t="s">
        <v>78</v>
      </c>
      <c r="C24" s="752"/>
      <c r="D24" s="204">
        <v>1.4E-3</v>
      </c>
      <c r="E24" s="204">
        <v>2.0999999999999999E-3</v>
      </c>
    </row>
    <row r="25" spans="1:6" s="58" customFormat="1" ht="19.5" customHeight="1" x14ac:dyDescent="0.25">
      <c r="B25" s="224"/>
      <c r="C25" s="225"/>
      <c r="D25" s="276"/>
      <c r="E25" s="207"/>
      <c r="F25" s="273"/>
    </row>
    <row r="26" spans="1:6" s="58" customFormat="1" ht="19.5" customHeight="1" x14ac:dyDescent="0.25">
      <c r="B26" s="751" t="s">
        <v>211</v>
      </c>
      <c r="C26" s="752"/>
      <c r="D26" s="32"/>
      <c r="E26" s="204">
        <v>1E-3</v>
      </c>
      <c r="F26" s="273"/>
    </row>
    <row r="27" spans="1:6" s="58" customFormat="1" ht="19.5" customHeight="1" x14ac:dyDescent="0.25">
      <c r="B27" s="781" t="s">
        <v>212</v>
      </c>
      <c r="C27" s="782"/>
      <c r="D27" s="32"/>
      <c r="E27" s="204">
        <v>5.0000000000000001E-3</v>
      </c>
      <c r="F27" s="273"/>
    </row>
    <row r="28" spans="1:6" s="58" customFormat="1" ht="19.5" customHeight="1" x14ac:dyDescent="0.25">
      <c r="B28" s="781" t="s">
        <v>185</v>
      </c>
      <c r="C28" s="782"/>
      <c r="D28" s="32"/>
      <c r="E28" s="204">
        <v>3.2000000000000001E-2</v>
      </c>
      <c r="F28" s="273" t="s">
        <v>452</v>
      </c>
    </row>
    <row r="29" spans="1:6" s="58" customFormat="1" ht="19.5" customHeight="1" x14ac:dyDescent="0.25">
      <c r="B29" s="751" t="s">
        <v>73</v>
      </c>
      <c r="C29" s="752"/>
      <c r="D29" s="32"/>
      <c r="E29" s="204">
        <v>3.0000000000000001E-3</v>
      </c>
      <c r="F29" s="273"/>
    </row>
    <row r="30" spans="1:6" s="58" customFormat="1" ht="19.5" customHeight="1" x14ac:dyDescent="0.25">
      <c r="B30" s="751" t="s">
        <v>47</v>
      </c>
      <c r="C30" s="752"/>
      <c r="D30" s="32"/>
      <c r="E30" s="204">
        <v>0.08</v>
      </c>
      <c r="F30" s="273"/>
    </row>
    <row r="31" spans="1:6" s="58" customFormat="1" ht="19.5" customHeight="1" x14ac:dyDescent="0.25">
      <c r="B31" s="220" t="s">
        <v>228</v>
      </c>
      <c r="C31" s="220"/>
      <c r="D31" s="32"/>
      <c r="E31" s="204">
        <v>0.2</v>
      </c>
      <c r="F31" s="273"/>
    </row>
    <row r="32" spans="1:6" s="58" customFormat="1" ht="15.6" x14ac:dyDescent="0.25">
      <c r="A32" s="203" t="s">
        <v>83</v>
      </c>
      <c r="B32" s="751" t="s">
        <v>74</v>
      </c>
      <c r="C32" s="752"/>
      <c r="D32" s="32"/>
      <c r="E32" s="209">
        <v>1.6000000000000001E-4</v>
      </c>
      <c r="F32" s="206"/>
    </row>
    <row r="33" spans="1:6" s="58" customFormat="1" ht="15.6" x14ac:dyDescent="0.25">
      <c r="A33" s="203" t="s">
        <v>83</v>
      </c>
      <c r="B33" s="751" t="s">
        <v>79</v>
      </c>
      <c r="C33" s="752"/>
      <c r="D33" s="29"/>
      <c r="E33" s="204">
        <v>6.7999999999999996E-3</v>
      </c>
      <c r="F33" s="206"/>
    </row>
    <row r="34" spans="1:6" s="58" customFormat="1" ht="15" customHeight="1" x14ac:dyDescent="0.25">
      <c r="A34" s="203" t="s">
        <v>83</v>
      </c>
      <c r="B34" s="751" t="s">
        <v>213</v>
      </c>
      <c r="C34" s="752"/>
      <c r="D34" s="29"/>
      <c r="E34" s="204">
        <v>0.01</v>
      </c>
      <c r="F34" s="210"/>
    </row>
    <row r="35" spans="1:6" s="58" customFormat="1" ht="15" customHeight="1" x14ac:dyDescent="0.25">
      <c r="A35" s="203" t="s">
        <v>83</v>
      </c>
      <c r="B35" s="751" t="s">
        <v>213</v>
      </c>
      <c r="C35" s="752"/>
      <c r="D35" s="29"/>
      <c r="E35" s="204">
        <v>5.4999999999999997E-3</v>
      </c>
      <c r="F35" s="210"/>
    </row>
    <row r="36" spans="1:6" s="58" customFormat="1" ht="15" customHeight="1" x14ac:dyDescent="0.25">
      <c r="A36" s="203" t="s">
        <v>83</v>
      </c>
      <c r="B36" s="751" t="s">
        <v>85</v>
      </c>
      <c r="C36" s="752"/>
      <c r="D36" s="29"/>
      <c r="E36" s="204">
        <v>4.4999999999999997E-3</v>
      </c>
      <c r="F36" s="211"/>
    </row>
    <row r="37" spans="1:6" s="58" customFormat="1" ht="15" customHeight="1" x14ac:dyDescent="0.25">
      <c r="A37" s="203" t="s">
        <v>83</v>
      </c>
      <c r="B37" s="765"/>
      <c r="C37" s="766"/>
      <c r="D37" s="276"/>
      <c r="E37" s="207"/>
      <c r="F37" s="211"/>
    </row>
    <row r="38" spans="1:6" s="58" customFormat="1" ht="15" customHeight="1" x14ac:dyDescent="0.25">
      <c r="A38" s="203" t="s">
        <v>83</v>
      </c>
      <c r="B38" s="763" t="s">
        <v>49</v>
      </c>
      <c r="C38" s="764"/>
      <c r="D38" s="279">
        <v>6.8000000000000005E-2</v>
      </c>
      <c r="E38" s="212"/>
      <c r="F38" s="487"/>
    </row>
    <row r="39" spans="1:6" s="58" customFormat="1" ht="15.75" customHeight="1" x14ac:dyDescent="0.25">
      <c r="A39" s="203" t="s">
        <v>83</v>
      </c>
      <c r="B39" s="770" t="s">
        <v>50</v>
      </c>
      <c r="C39" s="770"/>
      <c r="D39" s="279">
        <v>2.9000000000000001E-2</v>
      </c>
      <c r="E39" s="212"/>
      <c r="F39" s="206"/>
    </row>
    <row r="40" spans="1:6" s="58" customFormat="1" ht="15.75" customHeight="1" x14ac:dyDescent="0.25">
      <c r="B40" s="763" t="s">
        <v>51</v>
      </c>
      <c r="C40" s="764"/>
      <c r="D40" s="279">
        <v>6.8000000000000005E-2</v>
      </c>
      <c r="E40" s="212"/>
      <c r="F40" s="206"/>
    </row>
    <row r="41" spans="1:6" s="58" customFormat="1" ht="15" customHeight="1" x14ac:dyDescent="0.25">
      <c r="A41" s="58" t="s">
        <v>84</v>
      </c>
      <c r="B41" s="763" t="s">
        <v>52</v>
      </c>
      <c r="C41" s="764"/>
      <c r="D41" s="279">
        <v>6.8000000000000005E-2</v>
      </c>
      <c r="E41" s="212"/>
    </row>
    <row r="42" spans="1:6" s="58" customFormat="1" ht="15" customHeight="1" x14ac:dyDescent="0.25">
      <c r="A42" s="58" t="s">
        <v>84</v>
      </c>
      <c r="B42" s="763" t="s">
        <v>53</v>
      </c>
      <c r="C42" s="764"/>
      <c r="D42" s="279">
        <v>2.9000000000000001E-2</v>
      </c>
      <c r="E42" s="212"/>
    </row>
    <row r="43" spans="1:6" s="58" customFormat="1" ht="10.5" customHeight="1" x14ac:dyDescent="0.25">
      <c r="A43" s="58" t="s">
        <v>84</v>
      </c>
      <c r="B43" s="748"/>
      <c r="C43" s="749"/>
      <c r="D43" s="749"/>
      <c r="E43" s="750"/>
      <c r="F43" s="35"/>
    </row>
    <row r="44" spans="1:6" s="58" customFormat="1" ht="15" customHeight="1" x14ac:dyDescent="0.25">
      <c r="A44" s="58" t="s">
        <v>84</v>
      </c>
      <c r="B44" s="773" t="s">
        <v>273</v>
      </c>
      <c r="C44" s="774"/>
      <c r="D44" s="280"/>
      <c r="E44" s="281"/>
      <c r="F44" s="206"/>
    </row>
    <row r="45" spans="1:6" s="58" customFormat="1" ht="15" customHeight="1" x14ac:dyDescent="0.25">
      <c r="A45" s="58" t="s">
        <v>84</v>
      </c>
      <c r="B45" s="760" t="s">
        <v>261</v>
      </c>
      <c r="C45" s="770"/>
      <c r="D45" s="279"/>
      <c r="E45" s="279"/>
      <c r="F45" s="186"/>
    </row>
    <row r="46" spans="1:6" s="58" customFormat="1" ht="15" customHeight="1" x14ac:dyDescent="0.25">
      <c r="B46" s="760" t="s">
        <v>260</v>
      </c>
      <c r="C46" s="770"/>
      <c r="D46" s="279"/>
      <c r="E46" s="279"/>
      <c r="F46" s="186"/>
    </row>
    <row r="47" spans="1:6" s="58" customFormat="1" ht="15" customHeight="1" x14ac:dyDescent="0.25">
      <c r="B47" s="590" t="s">
        <v>207</v>
      </c>
      <c r="C47" s="590"/>
      <c r="D47" s="279"/>
      <c r="E47" s="279">
        <v>1.4999999999999999E-2</v>
      </c>
      <c r="F47" s="186"/>
    </row>
    <row r="48" spans="1:6" s="58" customFormat="1" ht="15" customHeight="1" x14ac:dyDescent="0.25">
      <c r="A48" s="58" t="s">
        <v>84</v>
      </c>
      <c r="B48" s="763" t="s">
        <v>208</v>
      </c>
      <c r="C48" s="764"/>
      <c r="D48" s="280"/>
      <c r="E48" s="282"/>
      <c r="F48" s="206"/>
    </row>
    <row r="49" spans="1:7" s="58" customFormat="1" ht="15" customHeight="1" x14ac:dyDescent="0.25">
      <c r="A49" s="58" t="s">
        <v>84</v>
      </c>
      <c r="B49" s="763" t="s">
        <v>209</v>
      </c>
      <c r="C49" s="764"/>
      <c r="D49" s="280"/>
      <c r="E49" s="282"/>
      <c r="F49" s="206"/>
    </row>
    <row r="50" spans="1:7" s="58" customFormat="1" ht="8.25" customHeight="1" x14ac:dyDescent="0.25">
      <c r="A50" s="58" t="s">
        <v>84</v>
      </c>
      <c r="B50" s="754"/>
      <c r="C50" s="755"/>
      <c r="D50" s="755"/>
      <c r="E50" s="756"/>
      <c r="F50" s="206"/>
    </row>
    <row r="51" spans="1:7" s="58" customFormat="1" ht="15" customHeight="1" x14ac:dyDescent="0.25">
      <c r="A51" s="58" t="s">
        <v>84</v>
      </c>
      <c r="B51" s="771" t="s">
        <v>458</v>
      </c>
      <c r="C51" s="772"/>
      <c r="D51" s="494">
        <v>3925</v>
      </c>
      <c r="E51" s="283"/>
      <c r="F51" s="206"/>
    </row>
    <row r="52" spans="1:7" s="58" customFormat="1" ht="13.8" x14ac:dyDescent="0.25">
      <c r="B52" s="771" t="s">
        <v>459</v>
      </c>
      <c r="C52" s="772"/>
      <c r="D52" s="215">
        <v>11.65</v>
      </c>
      <c r="E52" s="213"/>
      <c r="F52" s="206"/>
    </row>
    <row r="53" spans="1:7" s="58" customFormat="1" ht="13.8" x14ac:dyDescent="0.25">
      <c r="B53" s="771" t="s">
        <v>460</v>
      </c>
      <c r="C53" s="772"/>
      <c r="D53" s="215">
        <v>11.88</v>
      </c>
      <c r="E53" s="213"/>
      <c r="F53" s="206"/>
    </row>
    <row r="54" spans="1:7" s="58" customFormat="1" ht="13.8" x14ac:dyDescent="0.25">
      <c r="B54" s="489" t="s">
        <v>461</v>
      </c>
      <c r="C54" s="490"/>
      <c r="D54" s="494">
        <v>11.88</v>
      </c>
      <c r="E54" s="213"/>
      <c r="F54" s="206"/>
    </row>
    <row r="55" spans="1:7" s="58" customFormat="1" ht="13.8" x14ac:dyDescent="0.25">
      <c r="B55" s="771" t="s">
        <v>462</v>
      </c>
      <c r="C55" s="772"/>
      <c r="D55" s="284"/>
      <c r="E55" s="213"/>
      <c r="F55" s="206"/>
    </row>
    <row r="56" spans="1:7" s="58" customFormat="1" ht="13.8" x14ac:dyDescent="0.25">
      <c r="B56" s="771" t="s">
        <v>462</v>
      </c>
      <c r="C56" s="772"/>
      <c r="D56" s="284"/>
      <c r="E56" s="213"/>
      <c r="F56" s="206"/>
    </row>
    <row r="57" spans="1:7" s="58" customFormat="1" ht="13.8" x14ac:dyDescent="0.25">
      <c r="B57" s="489" t="s">
        <v>463</v>
      </c>
      <c r="C57" s="490"/>
      <c r="D57" s="284">
        <f>D54*35*52/12</f>
        <v>1801.8000000000002</v>
      </c>
      <c r="E57" s="213"/>
      <c r="F57" s="206"/>
    </row>
    <row r="58" spans="1:7" s="58" customFormat="1" ht="13.8" x14ac:dyDescent="0.25">
      <c r="B58" s="771" t="s">
        <v>464</v>
      </c>
      <c r="C58" s="772"/>
      <c r="D58" s="215">
        <f>1.6*D54*35*52/12</f>
        <v>2882.8800000000006</v>
      </c>
      <c r="E58" s="213"/>
      <c r="F58" s="206"/>
    </row>
    <row r="59" spans="1:7" s="58" customFormat="1" ht="13.8" x14ac:dyDescent="0.25">
      <c r="B59" s="763" t="s">
        <v>465</v>
      </c>
      <c r="C59" s="764"/>
      <c r="D59" s="495">
        <f>2.25*D54*35*52/12</f>
        <v>4054.0500000000006</v>
      </c>
      <c r="E59" s="205"/>
      <c r="F59" s="206" t="s">
        <v>453</v>
      </c>
      <c r="G59" s="496">
        <f>ROUND(2.25*D54*151.67,2)</f>
        <v>4054.14</v>
      </c>
    </row>
    <row r="60" spans="1:7" s="58" customFormat="1" ht="13.8" x14ac:dyDescent="0.25">
      <c r="B60" s="763" t="s">
        <v>466</v>
      </c>
      <c r="C60" s="764"/>
      <c r="D60" s="495">
        <f>3.3*D54*35*52/12</f>
        <v>5945.94</v>
      </c>
      <c r="E60" s="205"/>
      <c r="F60" s="206"/>
      <c r="G60" s="496">
        <f>ROUND(3.3*D54*151.67,2)</f>
        <v>5946.07</v>
      </c>
    </row>
    <row r="61" spans="1:7" s="58" customFormat="1" ht="31.5" customHeight="1" x14ac:dyDescent="0.25">
      <c r="B61" s="757" t="s">
        <v>467</v>
      </c>
      <c r="C61" s="758"/>
      <c r="D61" s="497">
        <v>0.31940000000000002</v>
      </c>
      <c r="E61" s="498">
        <v>0.32340000000000002</v>
      </c>
    </row>
    <row r="62" spans="1:7" s="58" customFormat="1" ht="15" customHeight="1" x14ac:dyDescent="0.25">
      <c r="A62" s="767" t="s">
        <v>454</v>
      </c>
      <c r="B62" s="768"/>
      <c r="C62" s="768"/>
      <c r="D62" s="768"/>
      <c r="E62" s="769"/>
      <c r="F62" s="223"/>
    </row>
    <row r="63" spans="1:7" s="58" customFormat="1" ht="23.25" customHeight="1" x14ac:dyDescent="0.25">
      <c r="B63" s="757" t="s">
        <v>224</v>
      </c>
      <c r="C63" s="758"/>
      <c r="D63" s="285"/>
      <c r="E63" s="286" t="s">
        <v>81</v>
      </c>
      <c r="F63" s="214"/>
    </row>
    <row r="64" spans="1:7" s="58" customFormat="1" ht="17.25" customHeight="1" x14ac:dyDescent="0.25">
      <c r="B64" s="757" t="s">
        <v>222</v>
      </c>
      <c r="C64" s="758"/>
      <c r="D64" s="285"/>
      <c r="E64" s="286" t="s">
        <v>223</v>
      </c>
      <c r="F64" s="214"/>
    </row>
    <row r="65" spans="1:6" s="58" customFormat="1" ht="18" customHeight="1" x14ac:dyDescent="0.25">
      <c r="B65" s="751" t="s">
        <v>214</v>
      </c>
      <c r="C65" s="752"/>
      <c r="D65" s="499">
        <v>7.26</v>
      </c>
      <c r="E65" s="287"/>
      <c r="F65" s="219"/>
    </row>
    <row r="66" spans="1:6" s="58" customFormat="1" ht="15" customHeight="1" x14ac:dyDescent="0.25">
      <c r="B66" s="751" t="s">
        <v>225</v>
      </c>
      <c r="C66" s="752"/>
      <c r="D66" s="499">
        <v>88.8</v>
      </c>
      <c r="E66" s="287"/>
      <c r="F66" s="219"/>
    </row>
    <row r="67" spans="1:6" s="58" customFormat="1" ht="35.25" customHeight="1" x14ac:dyDescent="0.25">
      <c r="B67" s="216"/>
      <c r="D67" s="288"/>
      <c r="E67" s="217"/>
      <c r="F67" s="206"/>
    </row>
    <row r="68" spans="1:6" s="58" customFormat="1" ht="18.75" customHeight="1" x14ac:dyDescent="0.25">
      <c r="B68" s="218"/>
      <c r="C68" s="784" t="s">
        <v>280</v>
      </c>
      <c r="D68" s="784"/>
      <c r="E68" s="785" t="s">
        <v>281</v>
      </c>
      <c r="F68" s="785"/>
    </row>
    <row r="69" spans="1:6" s="58" customFormat="1" ht="18.75" customHeight="1" x14ac:dyDescent="0.25">
      <c r="B69" s="218"/>
      <c r="C69" s="294" t="s">
        <v>274</v>
      </c>
      <c r="D69" s="294" t="s">
        <v>89</v>
      </c>
      <c r="E69" s="294" t="s">
        <v>274</v>
      </c>
      <c r="F69" s="294" t="s">
        <v>89</v>
      </c>
    </row>
    <row r="70" spans="1:6" s="58" customFormat="1" ht="18.75" customHeight="1" x14ac:dyDescent="0.25">
      <c r="B70" s="303" t="s">
        <v>42</v>
      </c>
      <c r="C70" s="295">
        <v>3.15E-2</v>
      </c>
      <c r="D70" s="296">
        <v>4.7199999999999999E-2</v>
      </c>
      <c r="E70" s="295">
        <v>3.15E-2</v>
      </c>
      <c r="F70" s="296">
        <v>4.7199999999999999E-2</v>
      </c>
    </row>
    <row r="71" spans="1:6" s="58" customFormat="1" ht="18.75" customHeight="1" x14ac:dyDescent="0.25">
      <c r="B71" s="303" t="s">
        <v>275</v>
      </c>
      <c r="C71" s="295">
        <v>8.6E-3</v>
      </c>
      <c r="D71" s="295">
        <v>1.29E-2</v>
      </c>
      <c r="E71" s="295">
        <v>8.6E-3</v>
      </c>
      <c r="F71" s="295">
        <v>1.29E-2</v>
      </c>
    </row>
    <row r="72" spans="1:6" s="58" customFormat="1" ht="18.75" customHeight="1" x14ac:dyDescent="0.25">
      <c r="B72" s="303" t="s">
        <v>277</v>
      </c>
      <c r="C72" s="38"/>
      <c r="D72" s="302"/>
      <c r="E72" s="295">
        <v>1.4E-3</v>
      </c>
      <c r="F72" s="295">
        <v>2.0999999999999999E-3</v>
      </c>
    </row>
    <row r="73" spans="1:6" s="58" customFormat="1" ht="35.25" customHeight="1" x14ac:dyDescent="0.25">
      <c r="B73" s="298" t="s">
        <v>282</v>
      </c>
      <c r="C73" s="299">
        <f>+C70+C71</f>
        <v>4.0099999999999997E-2</v>
      </c>
      <c r="D73" s="299">
        <f>+D70+D71</f>
        <v>6.0100000000000001E-2</v>
      </c>
      <c r="E73" s="299">
        <f>SUM(E70:E72)</f>
        <v>4.1499999999999995E-2</v>
      </c>
      <c r="F73" s="299">
        <f>SUM(F70:F72)</f>
        <v>6.2199999999999998E-2</v>
      </c>
    </row>
    <row r="74" spans="1:6" s="58" customFormat="1" ht="27" customHeight="1" x14ac:dyDescent="0.25">
      <c r="B74" s="300"/>
      <c r="C74" s="301"/>
      <c r="D74" s="301"/>
      <c r="E74" s="301"/>
      <c r="F74" s="301"/>
    </row>
    <row r="75" spans="1:6" s="58" customFormat="1" ht="18.75" customHeight="1" x14ac:dyDescent="0.25">
      <c r="B75" s="218"/>
      <c r="C75" s="218"/>
      <c r="D75" s="297"/>
      <c r="E75" s="294" t="s">
        <v>88</v>
      </c>
      <c r="F75" s="298" t="s">
        <v>89</v>
      </c>
    </row>
    <row r="76" spans="1:6" s="58" customFormat="1" ht="18.75" customHeight="1" x14ac:dyDescent="0.25">
      <c r="B76" s="303" t="s">
        <v>43</v>
      </c>
      <c r="C76" s="218"/>
      <c r="D76" s="297"/>
      <c r="E76" s="295">
        <v>8.6400000000000005E-2</v>
      </c>
      <c r="F76" s="295">
        <v>0.1295</v>
      </c>
    </row>
    <row r="77" spans="1:6" s="58" customFormat="1" ht="18.75" customHeight="1" x14ac:dyDescent="0.25">
      <c r="B77" s="303" t="s">
        <v>276</v>
      </c>
      <c r="C77" s="218"/>
      <c r="D77" s="297"/>
      <c r="E77" s="295">
        <v>1.0800000000000001E-2</v>
      </c>
      <c r="F77" s="295">
        <v>1.6199999999999999E-2</v>
      </c>
    </row>
    <row r="78" spans="1:6" s="58" customFormat="1" ht="18.75" customHeight="1" x14ac:dyDescent="0.25">
      <c r="B78" s="303" t="s">
        <v>278</v>
      </c>
      <c r="C78" s="218"/>
      <c r="D78" s="297"/>
      <c r="E78" s="295">
        <v>1.4E-3</v>
      </c>
      <c r="F78" s="295">
        <v>2.0999999999999999E-3</v>
      </c>
    </row>
    <row r="79" spans="1:6" s="58" customFormat="1" ht="33" customHeight="1" x14ac:dyDescent="0.25">
      <c r="B79" s="298" t="s">
        <v>283</v>
      </c>
      <c r="C79" s="218"/>
      <c r="D79" s="297"/>
      <c r="E79" s="299">
        <f>SUM(E76:E78)</f>
        <v>9.8600000000000007E-2</v>
      </c>
      <c r="F79" s="299">
        <f>SUM(F76:F78)</f>
        <v>0.14779999999999999</v>
      </c>
    </row>
    <row r="80" spans="1:6" s="58" customFormat="1" ht="35.25" customHeight="1" x14ac:dyDescent="0.3">
      <c r="A80" s="187"/>
      <c r="B80" s="187"/>
      <c r="D80" s="289"/>
      <c r="E80" s="290"/>
      <c r="F80" s="187"/>
    </row>
    <row r="81" spans="2:9" s="58" customFormat="1" ht="35.25" customHeight="1" x14ac:dyDescent="0.25">
      <c r="D81" s="291"/>
      <c r="E81" s="217"/>
      <c r="F81" s="206"/>
    </row>
    <row r="82" spans="2:9" s="58" customFormat="1" ht="35.25" customHeight="1" x14ac:dyDescent="0.25">
      <c r="B82" s="725" t="s">
        <v>468</v>
      </c>
      <c r="C82" s="726"/>
      <c r="D82" s="726"/>
      <c r="E82" s="727"/>
      <c r="F82" s="206"/>
    </row>
    <row r="83" spans="2:9" s="58" customFormat="1" ht="42" customHeight="1" x14ac:dyDescent="0.25">
      <c r="B83" s="732" t="s">
        <v>215</v>
      </c>
      <c r="C83" s="733"/>
      <c r="D83" s="77" t="s">
        <v>469</v>
      </c>
      <c r="E83" s="77" t="s">
        <v>455</v>
      </c>
      <c r="F83" s="206"/>
    </row>
    <row r="84" spans="2:9" s="58" customFormat="1" ht="35.25" customHeight="1" x14ac:dyDescent="0.25">
      <c r="B84" s="725" t="s">
        <v>216</v>
      </c>
      <c r="C84" s="727"/>
      <c r="D84" s="292" t="s">
        <v>217</v>
      </c>
      <c r="E84" s="500">
        <v>3.2000000000000001E-2</v>
      </c>
      <c r="F84" s="206"/>
      <c r="I84" s="58">
        <f>50%*2522.52*3/91.25</f>
        <v>41.466082191780821</v>
      </c>
    </row>
    <row r="85" spans="2:9" s="58" customFormat="1" ht="35.25" customHeight="1" x14ac:dyDescent="0.25">
      <c r="B85" s="725" t="s">
        <v>218</v>
      </c>
      <c r="C85" s="727"/>
      <c r="D85" s="292" t="s">
        <v>217</v>
      </c>
      <c r="E85" s="500">
        <v>3.2000000000000001E-2</v>
      </c>
      <c r="F85" s="206"/>
    </row>
    <row r="86" spans="2:9" ht="47.25" customHeight="1" x14ac:dyDescent="0.3">
      <c r="B86" s="708" t="s">
        <v>219</v>
      </c>
      <c r="C86" s="708"/>
      <c r="D86" s="292" t="s">
        <v>456</v>
      </c>
      <c r="E86" s="292" t="s">
        <v>456</v>
      </c>
    </row>
    <row r="87" spans="2:9" ht="35.25" customHeight="1" x14ac:dyDescent="0.3">
      <c r="B87" s="783"/>
      <c r="C87" s="783"/>
      <c r="D87" s="501"/>
    </row>
    <row r="88" spans="2:9" ht="35.25" customHeight="1" x14ac:dyDescent="0.3">
      <c r="B88" t="s">
        <v>220</v>
      </c>
    </row>
    <row r="89" spans="2:9" ht="35.25" customHeight="1" x14ac:dyDescent="0.3">
      <c r="B89" s="58" t="s">
        <v>221</v>
      </c>
    </row>
    <row r="90" spans="2:9" ht="35.25" customHeight="1" x14ac:dyDescent="0.3">
      <c r="C90" s="58"/>
      <c r="D90" s="288"/>
    </row>
  </sheetData>
  <mergeCells count="71">
    <mergeCell ref="B87:C87"/>
    <mergeCell ref="B65:C65"/>
    <mergeCell ref="B66:C66"/>
    <mergeCell ref="C68:D68"/>
    <mergeCell ref="E68:F68"/>
    <mergeCell ref="B82:E82"/>
    <mergeCell ref="B44:C44"/>
    <mergeCell ref="B45:C45"/>
    <mergeCell ref="B9:C9"/>
    <mergeCell ref="B8:C8"/>
    <mergeCell ref="B41:C41"/>
    <mergeCell ref="B40:C40"/>
    <mergeCell ref="B39:C39"/>
    <mergeCell ref="B12:C12"/>
    <mergeCell ref="B11:C11"/>
    <mergeCell ref="B10:C10"/>
    <mergeCell ref="B26:C26"/>
    <mergeCell ref="B27:C27"/>
    <mergeCell ref="B28:C28"/>
    <mergeCell ref="B29:C29"/>
    <mergeCell ref="B30:C30"/>
    <mergeCell ref="B38:C38"/>
    <mergeCell ref="B49:C49"/>
    <mergeCell ref="B50:E50"/>
    <mergeCell ref="B47:C47"/>
    <mergeCell ref="B60:C60"/>
    <mergeCell ref="B56:C56"/>
    <mergeCell ref="B58:C58"/>
    <mergeCell ref="B59:C59"/>
    <mergeCell ref="B37:C37"/>
    <mergeCell ref="B32:C32"/>
    <mergeCell ref="A62:E62"/>
    <mergeCell ref="B85:C85"/>
    <mergeCell ref="B86:C86"/>
    <mergeCell ref="B83:C83"/>
    <mergeCell ref="B84:C84"/>
    <mergeCell ref="B64:C64"/>
    <mergeCell ref="B63:C63"/>
    <mergeCell ref="B46:C46"/>
    <mergeCell ref="B55:C55"/>
    <mergeCell ref="B61:C61"/>
    <mergeCell ref="B53:C53"/>
    <mergeCell ref="B52:C52"/>
    <mergeCell ref="B51:C51"/>
    <mergeCell ref="B48:C48"/>
    <mergeCell ref="B24:C24"/>
    <mergeCell ref="B33:C33"/>
    <mergeCell ref="B34:C34"/>
    <mergeCell ref="B35:C35"/>
    <mergeCell ref="B36:C36"/>
    <mergeCell ref="B43:E43"/>
    <mergeCell ref="B18:C18"/>
    <mergeCell ref="B19:C19"/>
    <mergeCell ref="B20:C20"/>
    <mergeCell ref="F5:F6"/>
    <mergeCell ref="B6:C6"/>
    <mergeCell ref="B7:E7"/>
    <mergeCell ref="B13:C13"/>
    <mergeCell ref="B14:C14"/>
    <mergeCell ref="B15:C15"/>
    <mergeCell ref="B16:E16"/>
    <mergeCell ref="B17:C17"/>
    <mergeCell ref="B42:C42"/>
    <mergeCell ref="B21:C21"/>
    <mergeCell ref="B22:C22"/>
    <mergeCell ref="B23:C23"/>
    <mergeCell ref="B1:C1"/>
    <mergeCell ref="B2:C2"/>
    <mergeCell ref="B3:C3"/>
    <mergeCell ref="B4:C4"/>
    <mergeCell ref="B5:C5"/>
  </mergeCells>
  <pageMargins left="0.70866141732283472" right="0.70866141732283472" top="0.74803149606299213" bottom="0.74803149606299213" header="0.31496062992125984" footer="0.31496062992125984"/>
  <pageSetup paperSize="9" scale="80" orientation="portrait" horizontalDpi="4294967293" verticalDpi="0" r:id="rId1"/>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6ACFCA-F291-4BB1-BE22-A2A507C48688}">
  <dimension ref="A1:K26"/>
  <sheetViews>
    <sheetView workbookViewId="0">
      <selection activeCell="E7" sqref="E7"/>
    </sheetView>
  </sheetViews>
  <sheetFormatPr baseColWidth="10" defaultColWidth="11.44140625" defaultRowHeight="14.4" x14ac:dyDescent="0.25"/>
  <cols>
    <col min="1" max="1" width="6" style="58" customWidth="1"/>
    <col min="2" max="3" width="13.88671875" style="58" customWidth="1"/>
    <col min="4" max="4" width="19" style="58" customWidth="1"/>
    <col min="5" max="9" width="13.88671875" style="58" customWidth="1"/>
    <col min="10" max="11" width="8.44140625" style="58" customWidth="1"/>
    <col min="12" max="16384" width="11.44140625" style="58"/>
  </cols>
  <sheetData>
    <row r="1" spans="1:11" s="516" customFormat="1" ht="24.6" customHeight="1" x14ac:dyDescent="0.25">
      <c r="B1" s="904" t="s">
        <v>479</v>
      </c>
      <c r="C1" s="905"/>
      <c r="D1" s="905"/>
      <c r="E1" s="905"/>
      <c r="F1" s="905"/>
      <c r="G1" s="905"/>
      <c r="H1" s="905"/>
      <c r="I1" s="905"/>
      <c r="J1" s="905"/>
      <c r="K1" s="906"/>
    </row>
    <row r="2" spans="1:11" s="516" customFormat="1" ht="22.8" customHeight="1" x14ac:dyDescent="0.25">
      <c r="B2" s="898" t="s">
        <v>480</v>
      </c>
      <c r="C2" s="888"/>
      <c r="D2" s="888"/>
      <c r="E2" s="888"/>
      <c r="F2" s="888"/>
      <c r="G2" s="888"/>
      <c r="H2" s="888"/>
      <c r="I2" s="888"/>
      <c r="J2" s="888"/>
      <c r="K2" s="899"/>
    </row>
    <row r="3" spans="1:11" ht="13.8" x14ac:dyDescent="0.25">
      <c r="B3" s="900"/>
      <c r="C3" s="890"/>
      <c r="D3" s="890"/>
      <c r="E3" s="890"/>
      <c r="F3" s="890"/>
      <c r="G3" s="890"/>
      <c r="H3" s="890"/>
      <c r="I3" s="890"/>
      <c r="J3" s="890"/>
      <c r="K3" s="901"/>
    </row>
    <row r="4" spans="1:11" ht="13.8" x14ac:dyDescent="0.25">
      <c r="B4" s="889" t="s">
        <v>297</v>
      </c>
      <c r="C4" s="889"/>
      <c r="D4" s="889"/>
      <c r="E4" s="374">
        <f>IF(E6&gt;=E11,0.3193,0.3194)</f>
        <v>0.31929999999999997</v>
      </c>
      <c r="F4" s="375" t="s">
        <v>298</v>
      </c>
      <c r="G4" s="892"/>
      <c r="H4" s="892"/>
      <c r="I4" s="892"/>
      <c r="J4" s="892"/>
      <c r="K4" s="902"/>
    </row>
    <row r="5" spans="1:11" ht="13.8" x14ac:dyDescent="0.25">
      <c r="B5" s="724" t="s">
        <v>299</v>
      </c>
      <c r="C5" s="724"/>
      <c r="D5" s="724"/>
      <c r="E5" s="309">
        <f>IF(E6&lt;E11,0.3234,0.3233)</f>
        <v>0.32329999999999998</v>
      </c>
      <c r="F5" s="308" t="s">
        <v>298</v>
      </c>
      <c r="G5" s="892"/>
      <c r="H5" s="892"/>
      <c r="I5" s="892"/>
      <c r="J5" s="892"/>
      <c r="K5" s="902"/>
    </row>
    <row r="6" spans="1:11" ht="13.8" x14ac:dyDescent="0.25">
      <c r="B6" s="724" t="s">
        <v>478</v>
      </c>
      <c r="C6" s="724"/>
      <c r="D6" s="724"/>
      <c r="E6" s="515">
        <f>'BP VERSION JANVIER 2023'!H10</f>
        <v>45931</v>
      </c>
      <c r="F6" s="890"/>
      <c r="G6" s="892"/>
      <c r="H6" s="892"/>
      <c r="I6" s="892"/>
      <c r="J6" s="892"/>
      <c r="K6" s="902"/>
    </row>
    <row r="7" spans="1:11" ht="13.8" x14ac:dyDescent="0.25">
      <c r="B7" s="724" t="s">
        <v>300</v>
      </c>
      <c r="C7" s="724"/>
      <c r="D7" s="724"/>
      <c r="E7" s="377">
        <f>'BP VERSION JANVIER 2023'!B9</f>
        <v>40</v>
      </c>
      <c r="F7" s="890"/>
      <c r="G7" s="892"/>
      <c r="H7" s="892"/>
      <c r="I7" s="892"/>
      <c r="J7" s="892"/>
      <c r="K7" s="902"/>
    </row>
    <row r="8" spans="1:11" ht="13.8" x14ac:dyDescent="0.25">
      <c r="B8" s="724" t="s">
        <v>301</v>
      </c>
      <c r="C8" s="724"/>
      <c r="D8" s="724"/>
      <c r="E8" s="377">
        <f>'BP VERSION JANVIER 2023'!D10</f>
        <v>11.88</v>
      </c>
      <c r="F8" s="793" t="s">
        <v>486</v>
      </c>
      <c r="G8" s="903"/>
      <c r="H8" s="903"/>
      <c r="I8" s="903"/>
      <c r="J8" s="892"/>
      <c r="K8" s="902"/>
    </row>
    <row r="9" spans="1:11" ht="13.8" x14ac:dyDescent="0.25">
      <c r="B9" s="724" t="s">
        <v>302</v>
      </c>
      <c r="C9" s="724"/>
      <c r="D9" s="724"/>
      <c r="E9" s="377">
        <f>'BP VERSION JANVIER 2023'!B10</f>
        <v>151.66999999999999</v>
      </c>
      <c r="F9" s="890"/>
      <c r="G9" s="892"/>
      <c r="H9" s="892"/>
      <c r="I9" s="892"/>
      <c r="J9" s="892"/>
      <c r="K9" s="902"/>
    </row>
    <row r="10" spans="1:11" ht="13.8" x14ac:dyDescent="0.25">
      <c r="B10" s="724" t="s">
        <v>303</v>
      </c>
      <c r="C10" s="724"/>
      <c r="D10" s="724"/>
      <c r="E10" s="376">
        <f>'BP VERSION JANVIER 2023'!J33</f>
        <v>1900</v>
      </c>
      <c r="F10" s="890"/>
      <c r="G10" s="892"/>
      <c r="H10" s="892"/>
      <c r="I10" s="892"/>
      <c r="J10" s="892"/>
      <c r="K10" s="902"/>
    </row>
    <row r="11" spans="1:11" ht="13.8" x14ac:dyDescent="0.25">
      <c r="B11" s="795" t="s">
        <v>477</v>
      </c>
      <c r="C11" s="795"/>
      <c r="D11" s="795"/>
      <c r="E11" s="473">
        <v>45778</v>
      </c>
      <c r="F11" s="892"/>
      <c r="G11" s="892"/>
      <c r="H11" s="892"/>
      <c r="I11" s="892"/>
      <c r="J11" s="892"/>
      <c r="K11" s="902"/>
    </row>
    <row r="12" spans="1:11" ht="30.75" customHeight="1" x14ac:dyDescent="0.25">
      <c r="B12" s="797" t="s">
        <v>304</v>
      </c>
      <c r="C12" s="797"/>
      <c r="D12" s="797"/>
      <c r="E12" s="797"/>
      <c r="F12" s="797"/>
      <c r="G12" s="797"/>
      <c r="H12" s="797"/>
      <c r="I12" s="797"/>
      <c r="J12" s="797"/>
      <c r="K12" s="797"/>
    </row>
    <row r="13" spans="1:11" ht="30.75" customHeight="1" x14ac:dyDescent="0.25">
      <c r="A13" s="206"/>
      <c r="B13" s="786" t="s">
        <v>303</v>
      </c>
      <c r="C13" s="786" t="s">
        <v>305</v>
      </c>
      <c r="D13" s="786" t="s">
        <v>14</v>
      </c>
      <c r="E13" s="37" t="s">
        <v>306</v>
      </c>
      <c r="F13" s="708" t="s">
        <v>307</v>
      </c>
      <c r="G13" s="708" t="s">
        <v>308</v>
      </c>
      <c r="H13" s="708" t="s">
        <v>309</v>
      </c>
      <c r="I13" s="708" t="s">
        <v>491</v>
      </c>
      <c r="J13" s="708" t="s">
        <v>310</v>
      </c>
      <c r="K13" s="708"/>
    </row>
    <row r="14" spans="1:11" ht="30.75" customHeight="1" x14ac:dyDescent="0.25">
      <c r="B14" s="787"/>
      <c r="C14" s="787"/>
      <c r="D14" s="787"/>
      <c r="E14" s="787" t="s">
        <v>311</v>
      </c>
      <c r="F14" s="708"/>
      <c r="G14" s="708"/>
      <c r="H14" s="708"/>
      <c r="I14" s="708"/>
      <c r="J14" s="708"/>
      <c r="K14" s="708"/>
    </row>
    <row r="15" spans="1:11" ht="30.75" customHeight="1" x14ac:dyDescent="0.25">
      <c r="B15" s="788"/>
      <c r="C15" s="788"/>
      <c r="D15" s="788"/>
      <c r="E15" s="788"/>
      <c r="F15" s="708"/>
      <c r="G15" s="708"/>
      <c r="H15" s="708"/>
      <c r="I15" s="708"/>
      <c r="J15" s="708"/>
      <c r="K15" s="708"/>
    </row>
    <row r="16" spans="1:11" ht="30.75" customHeight="1" x14ac:dyDescent="0.25">
      <c r="B16" s="796">
        <f>+E10</f>
        <v>1900</v>
      </c>
      <c r="C16" s="787">
        <f>E9</f>
        <v>151.66999999999999</v>
      </c>
      <c r="D16" s="787">
        <f>E8</f>
        <v>11.88</v>
      </c>
      <c r="E16" s="787">
        <f>1.6*D16*C16</f>
        <v>2882.9433600000002</v>
      </c>
      <c r="F16" s="787">
        <f>E16/B16</f>
        <v>1.5173386105263158</v>
      </c>
      <c r="G16" s="787">
        <f>IF(F16&lt;=1,0,F16-1)</f>
        <v>0.5173386105263158</v>
      </c>
      <c r="H16" s="790">
        <f>ROUND(IF(E7&lt;50,E4*G16/0.6,E5*G16/0.6),4)</f>
        <v>0.27529999999999999</v>
      </c>
      <c r="I16" s="790">
        <f>IF(E7&gt;50,MIN(E5,H16),MIN(H16,E4))</f>
        <v>0.27529999999999999</v>
      </c>
      <c r="J16" s="791">
        <f>ROUND(I16*B16,2)</f>
        <v>523.07000000000005</v>
      </c>
      <c r="K16" s="896"/>
    </row>
    <row r="17" spans="1:11" ht="30.75" customHeight="1" x14ac:dyDescent="0.25">
      <c r="B17" s="788"/>
      <c r="C17" s="788"/>
      <c r="D17" s="788"/>
      <c r="E17" s="788"/>
      <c r="F17" s="788"/>
      <c r="G17" s="788"/>
      <c r="H17" s="788"/>
      <c r="I17" s="788"/>
      <c r="J17" s="792"/>
      <c r="K17" s="897"/>
    </row>
    <row r="21" spans="1:11" ht="27.75" customHeight="1" x14ac:dyDescent="0.25"/>
    <row r="22" spans="1:11" ht="29.25" customHeight="1" x14ac:dyDescent="0.25">
      <c r="A22" s="206"/>
      <c r="B22" s="783"/>
      <c r="C22" s="783"/>
      <c r="D22" s="783"/>
      <c r="E22" s="62"/>
      <c r="F22" s="783"/>
      <c r="G22" s="783"/>
      <c r="H22" s="62"/>
      <c r="I22" s="783"/>
      <c r="J22" s="783"/>
      <c r="K22" s="783"/>
    </row>
    <row r="23" spans="1:11" ht="29.25" customHeight="1" x14ac:dyDescent="0.25">
      <c r="B23" s="783"/>
      <c r="C23" s="783"/>
      <c r="D23" s="783"/>
      <c r="E23" s="783"/>
      <c r="F23" s="783"/>
      <c r="G23" s="783"/>
      <c r="H23" s="62"/>
      <c r="I23" s="783"/>
      <c r="J23" s="783"/>
      <c r="K23" s="783"/>
    </row>
    <row r="24" spans="1:11" ht="29.25" customHeight="1" x14ac:dyDescent="0.25">
      <c r="B24" s="783"/>
      <c r="C24" s="783"/>
      <c r="D24" s="783"/>
      <c r="E24" s="783"/>
      <c r="F24" s="783"/>
      <c r="G24" s="783"/>
      <c r="H24" s="62"/>
      <c r="I24" s="783"/>
      <c r="J24" s="783"/>
      <c r="K24" s="783"/>
    </row>
    <row r="25" spans="1:11" ht="29.25" customHeight="1" x14ac:dyDescent="0.25">
      <c r="B25" s="783"/>
      <c r="C25" s="783"/>
      <c r="D25" s="783"/>
      <c r="E25" s="783"/>
      <c r="F25" s="783"/>
      <c r="G25" s="783"/>
      <c r="H25" s="62"/>
      <c r="I25" s="783"/>
      <c r="J25" s="789"/>
      <c r="K25" s="789"/>
    </row>
    <row r="26" spans="1:11" ht="29.25" customHeight="1" x14ac:dyDescent="0.25">
      <c r="B26" s="783"/>
      <c r="C26" s="783"/>
      <c r="D26" s="783"/>
      <c r="E26" s="783"/>
      <c r="F26" s="783"/>
      <c r="G26" s="783"/>
      <c r="H26" s="62"/>
      <c r="I26" s="783"/>
      <c r="J26" s="789"/>
      <c r="K26" s="789"/>
    </row>
  </sheetData>
  <mergeCells count="46">
    <mergeCell ref="I25:I26"/>
    <mergeCell ref="J25:K26"/>
    <mergeCell ref="B25:B26"/>
    <mergeCell ref="C25:C26"/>
    <mergeCell ref="D25:D26"/>
    <mergeCell ref="E25:E26"/>
    <mergeCell ref="F25:F26"/>
    <mergeCell ref="G25:G26"/>
    <mergeCell ref="I16:I17"/>
    <mergeCell ref="J16:K17"/>
    <mergeCell ref="B22:B24"/>
    <mergeCell ref="C22:C24"/>
    <mergeCell ref="D22:D24"/>
    <mergeCell ref="F22:F24"/>
    <mergeCell ref="G22:G24"/>
    <mergeCell ref="I22:I24"/>
    <mergeCell ref="J22:K24"/>
    <mergeCell ref="E23:E24"/>
    <mergeCell ref="I13:I15"/>
    <mergeCell ref="J13:K15"/>
    <mergeCell ref="E14:E15"/>
    <mergeCell ref="B16:B17"/>
    <mergeCell ref="C16:C17"/>
    <mergeCell ref="D16:D17"/>
    <mergeCell ref="E16:E17"/>
    <mergeCell ref="F16:F17"/>
    <mergeCell ref="G16:G17"/>
    <mergeCell ref="H16:H17"/>
    <mergeCell ref="B13:B15"/>
    <mergeCell ref="C13:C15"/>
    <mergeCell ref="D13:D15"/>
    <mergeCell ref="F13:F15"/>
    <mergeCell ref="G13:G15"/>
    <mergeCell ref="H13:H15"/>
    <mergeCell ref="B8:D8"/>
    <mergeCell ref="F8:I8"/>
    <mergeCell ref="B9:D9"/>
    <mergeCell ref="B10:D10"/>
    <mergeCell ref="B11:D11"/>
    <mergeCell ref="B12:K12"/>
    <mergeCell ref="B1:K1"/>
    <mergeCell ref="B2:K2"/>
    <mergeCell ref="B4:D4"/>
    <mergeCell ref="B5:D5"/>
    <mergeCell ref="B6:D6"/>
    <mergeCell ref="B7:D7"/>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510913-8787-4CE3-BC9D-4BBD08F3960A}">
  <dimension ref="A1:L26"/>
  <sheetViews>
    <sheetView topLeftCell="A7" zoomScale="110" zoomScaleNormal="110" workbookViewId="0">
      <selection activeCell="E10" sqref="E10"/>
    </sheetView>
  </sheetViews>
  <sheetFormatPr baseColWidth="10" defaultColWidth="11.44140625" defaultRowHeight="13.8" x14ac:dyDescent="0.25"/>
  <cols>
    <col min="1" max="1" width="6" style="58" customWidth="1"/>
    <col min="2" max="3" width="13.88671875" style="58" customWidth="1"/>
    <col min="4" max="4" width="19" style="58" customWidth="1"/>
    <col min="5" max="9" width="13.88671875" style="58" customWidth="1"/>
    <col min="10" max="11" width="8.44140625" style="58" customWidth="1"/>
    <col min="12" max="12" width="4.5546875" style="892" customWidth="1"/>
    <col min="13" max="16384" width="11.44140625" style="58"/>
  </cols>
  <sheetData>
    <row r="1" spans="1:12" s="516" customFormat="1" ht="37.200000000000003" customHeight="1" x14ac:dyDescent="0.25">
      <c r="B1" s="907" t="s">
        <v>479</v>
      </c>
      <c r="C1" s="907"/>
      <c r="D1" s="907"/>
      <c r="E1" s="907"/>
      <c r="F1" s="907"/>
      <c r="G1" s="907"/>
      <c r="H1" s="907"/>
      <c r="I1" s="907"/>
      <c r="J1" s="907"/>
      <c r="K1" s="907"/>
      <c r="L1" s="907"/>
    </row>
    <row r="2" spans="1:12" s="516" customFormat="1" ht="22.8" customHeight="1" x14ac:dyDescent="0.25">
      <c r="B2" s="888" t="s">
        <v>480</v>
      </c>
      <c r="C2" s="888"/>
      <c r="D2" s="888"/>
      <c r="E2" s="888"/>
      <c r="F2" s="888"/>
      <c r="G2" s="888"/>
      <c r="H2" s="888"/>
      <c r="I2" s="888"/>
      <c r="J2" s="888"/>
      <c r="K2" s="888"/>
      <c r="L2" s="888"/>
    </row>
    <row r="3" spans="1:12" x14ac:dyDescent="0.25">
      <c r="B3" s="890"/>
      <c r="C3" s="890"/>
      <c r="D3" s="890"/>
      <c r="E3" s="890"/>
      <c r="F3" s="890"/>
      <c r="G3" s="890"/>
      <c r="H3" s="890"/>
      <c r="I3" s="890"/>
      <c r="J3" s="890"/>
      <c r="K3" s="890"/>
      <c r="L3" s="891"/>
    </row>
    <row r="4" spans="1:12" x14ac:dyDescent="0.25">
      <c r="B4" s="889" t="s">
        <v>297</v>
      </c>
      <c r="C4" s="889"/>
      <c r="D4" s="889"/>
      <c r="E4" s="374">
        <f>IF(E6&gt;=E11,0.3193,0.3194)</f>
        <v>0.31929999999999997</v>
      </c>
      <c r="F4" s="375" t="s">
        <v>298</v>
      </c>
      <c r="L4" s="891"/>
    </row>
    <row r="5" spans="1:12" x14ac:dyDescent="0.25">
      <c r="B5" s="724" t="s">
        <v>299</v>
      </c>
      <c r="C5" s="724"/>
      <c r="D5" s="724"/>
      <c r="E5" s="309">
        <f>IF(E6&lt;E11,0.3234,0.3233)</f>
        <v>0.32329999999999998</v>
      </c>
      <c r="F5" s="308" t="s">
        <v>298</v>
      </c>
      <c r="L5" s="891"/>
    </row>
    <row r="6" spans="1:12" x14ac:dyDescent="0.25">
      <c r="B6" s="724" t="s">
        <v>478</v>
      </c>
      <c r="C6" s="724"/>
      <c r="D6" s="724"/>
      <c r="E6" s="515">
        <f>'BP FORMAT JUILLET 2023'!H10</f>
        <v>45931</v>
      </c>
      <c r="F6" s="60"/>
      <c r="L6" s="891"/>
    </row>
    <row r="7" spans="1:12" x14ac:dyDescent="0.25">
      <c r="B7" s="724" t="s">
        <v>300</v>
      </c>
      <c r="C7" s="724"/>
      <c r="D7" s="724"/>
      <c r="E7" s="377">
        <f>'BP FORMAT JUILLET 2023'!B9</f>
        <v>40</v>
      </c>
      <c r="F7" s="60"/>
      <c r="L7" s="891"/>
    </row>
    <row r="8" spans="1:12" x14ac:dyDescent="0.25">
      <c r="B8" s="724" t="s">
        <v>301</v>
      </c>
      <c r="C8" s="724"/>
      <c r="D8" s="724"/>
      <c r="E8" s="377">
        <f>'BP FORMAT JUILLET 2023'!D10</f>
        <v>11.88</v>
      </c>
      <c r="F8" s="793" t="s">
        <v>486</v>
      </c>
      <c r="G8" s="794"/>
      <c r="H8" s="794"/>
      <c r="I8" s="794"/>
      <c r="L8" s="891"/>
    </row>
    <row r="9" spans="1:12" x14ac:dyDescent="0.25">
      <c r="B9" s="724" t="s">
        <v>302</v>
      </c>
      <c r="C9" s="724"/>
      <c r="D9" s="724"/>
      <c r="E9" s="377">
        <f>'BP FORMAT JUILLET 2023'!B10</f>
        <v>151.66999999999999</v>
      </c>
      <c r="F9" s="60"/>
      <c r="L9" s="891"/>
    </row>
    <row r="10" spans="1:12" x14ac:dyDescent="0.25">
      <c r="B10" s="724" t="s">
        <v>303</v>
      </c>
      <c r="C10" s="724"/>
      <c r="D10" s="724"/>
      <c r="E10" s="376">
        <f>'BP FORMAT JUILLET 2023'!J33</f>
        <v>1900</v>
      </c>
      <c r="F10" s="60"/>
      <c r="L10" s="891"/>
    </row>
    <row r="11" spans="1:12" x14ac:dyDescent="0.25">
      <c r="B11" s="795" t="s">
        <v>477</v>
      </c>
      <c r="C11" s="795"/>
      <c r="D11" s="795"/>
      <c r="E11" s="473">
        <v>45778</v>
      </c>
      <c r="L11" s="891"/>
    </row>
    <row r="12" spans="1:12" ht="30.75" customHeight="1" x14ac:dyDescent="0.25">
      <c r="B12" s="797" t="s">
        <v>304</v>
      </c>
      <c r="C12" s="797"/>
      <c r="D12" s="797"/>
      <c r="E12" s="797"/>
      <c r="F12" s="797"/>
      <c r="G12" s="797"/>
      <c r="H12" s="797"/>
      <c r="I12" s="797"/>
      <c r="J12" s="797"/>
      <c r="K12" s="797"/>
      <c r="L12" s="891"/>
    </row>
    <row r="13" spans="1:12" ht="30.75" customHeight="1" x14ac:dyDescent="0.25">
      <c r="A13" s="206"/>
      <c r="B13" s="708" t="s">
        <v>303</v>
      </c>
      <c r="C13" s="708" t="s">
        <v>305</v>
      </c>
      <c r="D13" s="708" t="s">
        <v>14</v>
      </c>
      <c r="E13" s="37" t="s">
        <v>306</v>
      </c>
      <c r="F13" s="708" t="s">
        <v>307</v>
      </c>
      <c r="G13" s="708" t="s">
        <v>308</v>
      </c>
      <c r="H13" s="708" t="s">
        <v>309</v>
      </c>
      <c r="I13" s="708" t="s">
        <v>491</v>
      </c>
      <c r="J13" s="708" t="s">
        <v>310</v>
      </c>
      <c r="K13" s="708"/>
      <c r="L13" s="891"/>
    </row>
    <row r="14" spans="1:12" ht="30.75" customHeight="1" x14ac:dyDescent="0.25">
      <c r="B14" s="708"/>
      <c r="C14" s="708"/>
      <c r="D14" s="708"/>
      <c r="E14" s="708" t="s">
        <v>311</v>
      </c>
      <c r="F14" s="708"/>
      <c r="G14" s="708"/>
      <c r="H14" s="708"/>
      <c r="I14" s="708"/>
      <c r="J14" s="708"/>
      <c r="K14" s="708"/>
      <c r="L14" s="891"/>
    </row>
    <row r="15" spans="1:12" ht="30.75" customHeight="1" x14ac:dyDescent="0.25">
      <c r="B15" s="708"/>
      <c r="C15" s="708"/>
      <c r="D15" s="708"/>
      <c r="E15" s="708"/>
      <c r="F15" s="708"/>
      <c r="G15" s="708"/>
      <c r="H15" s="708"/>
      <c r="I15" s="708"/>
      <c r="J15" s="708"/>
      <c r="K15" s="708"/>
      <c r="L15" s="891"/>
    </row>
    <row r="16" spans="1:12" ht="30.75" customHeight="1" x14ac:dyDescent="0.25">
      <c r="B16" s="893">
        <f>+E10</f>
        <v>1900</v>
      </c>
      <c r="C16" s="708">
        <f>E9</f>
        <v>151.66999999999999</v>
      </c>
      <c r="D16" s="708">
        <f>E8</f>
        <v>11.88</v>
      </c>
      <c r="E16" s="708">
        <f>1.6*D16*C16</f>
        <v>2882.9433600000002</v>
      </c>
      <c r="F16" s="708">
        <f>E16/B16</f>
        <v>1.5173386105263158</v>
      </c>
      <c r="G16" s="708">
        <f>IF(F16&lt;=1,0,F16-1)</f>
        <v>0.5173386105263158</v>
      </c>
      <c r="H16" s="894">
        <f>ROUND(IF(E7&lt;50,E4*G16/0.6,E5*G16/0.6),4)</f>
        <v>0.27529999999999999</v>
      </c>
      <c r="I16" s="894">
        <f>IF(E7&gt;50,MIN(E5,H16),MIN(H16,E4))</f>
        <v>0.27529999999999999</v>
      </c>
      <c r="J16" s="895">
        <f>ROUND(I16*B16,2)</f>
        <v>523.07000000000005</v>
      </c>
      <c r="K16" s="895"/>
      <c r="L16" s="891"/>
    </row>
    <row r="17" spans="1:12" ht="30.75" customHeight="1" x14ac:dyDescent="0.25">
      <c r="B17" s="708"/>
      <c r="C17" s="708"/>
      <c r="D17" s="708"/>
      <c r="E17" s="708"/>
      <c r="F17" s="708"/>
      <c r="G17" s="708"/>
      <c r="H17" s="708"/>
      <c r="I17" s="708"/>
      <c r="J17" s="895"/>
      <c r="K17" s="895"/>
      <c r="L17" s="891"/>
    </row>
    <row r="21" spans="1:12" ht="27.75" customHeight="1" x14ac:dyDescent="0.25"/>
    <row r="22" spans="1:12" ht="29.25" customHeight="1" x14ac:dyDescent="0.25">
      <c r="A22" s="206"/>
      <c r="B22" s="783"/>
      <c r="C22" s="783"/>
      <c r="D22" s="783"/>
      <c r="E22" s="62"/>
      <c r="F22" s="783"/>
      <c r="G22" s="783"/>
      <c r="H22" s="62"/>
      <c r="I22" s="783"/>
      <c r="J22" s="783"/>
      <c r="K22" s="783"/>
      <c r="L22" s="891"/>
    </row>
    <row r="23" spans="1:12" ht="29.25" customHeight="1" x14ac:dyDescent="0.25">
      <c r="B23" s="783"/>
      <c r="C23" s="783"/>
      <c r="D23" s="783"/>
      <c r="E23" s="783"/>
      <c r="F23" s="783"/>
      <c r="G23" s="783"/>
      <c r="H23" s="62"/>
      <c r="I23" s="783"/>
      <c r="J23" s="783"/>
      <c r="K23" s="783"/>
      <c r="L23" s="891"/>
    </row>
    <row r="24" spans="1:12" ht="29.25" customHeight="1" x14ac:dyDescent="0.25">
      <c r="B24" s="783"/>
      <c r="C24" s="783"/>
      <c r="D24" s="783"/>
      <c r="E24" s="783"/>
      <c r="F24" s="783"/>
      <c r="G24" s="783"/>
      <c r="H24" s="62"/>
      <c r="I24" s="783"/>
      <c r="J24" s="783"/>
      <c r="K24" s="783"/>
      <c r="L24" s="891"/>
    </row>
    <row r="25" spans="1:12" ht="29.25" customHeight="1" x14ac:dyDescent="0.25">
      <c r="B25" s="783"/>
      <c r="C25" s="783"/>
      <c r="D25" s="783"/>
      <c r="E25" s="783"/>
      <c r="F25" s="783"/>
      <c r="G25" s="783"/>
      <c r="H25" s="62"/>
      <c r="I25" s="783"/>
      <c r="J25" s="789"/>
      <c r="K25" s="789"/>
      <c r="L25" s="891"/>
    </row>
    <row r="26" spans="1:12" ht="29.25" customHeight="1" x14ac:dyDescent="0.25">
      <c r="B26" s="783"/>
      <c r="C26" s="783"/>
      <c r="D26" s="783"/>
      <c r="E26" s="783"/>
      <c r="F26" s="783"/>
      <c r="G26" s="783"/>
      <c r="H26" s="62"/>
      <c r="I26" s="783"/>
      <c r="J26" s="789"/>
      <c r="K26" s="789"/>
      <c r="L26" s="891"/>
    </row>
  </sheetData>
  <mergeCells count="46">
    <mergeCell ref="B1:L1"/>
    <mergeCell ref="B2:L2"/>
    <mergeCell ref="F8:I8"/>
    <mergeCell ref="B11:D11"/>
    <mergeCell ref="B4:D4"/>
    <mergeCell ref="B5:D5"/>
    <mergeCell ref="B7:D7"/>
    <mergeCell ref="B8:D8"/>
    <mergeCell ref="B9:D9"/>
    <mergeCell ref="B6:D6"/>
    <mergeCell ref="B10:D10"/>
    <mergeCell ref="B12:K12"/>
    <mergeCell ref="B13:B15"/>
    <mergeCell ref="C13:C15"/>
    <mergeCell ref="D13:D15"/>
    <mergeCell ref="F13:F15"/>
    <mergeCell ref="G13:G15"/>
    <mergeCell ref="H13:H15"/>
    <mergeCell ref="J13:K15"/>
    <mergeCell ref="E14:E15"/>
    <mergeCell ref="I13:I15"/>
    <mergeCell ref="H16:H17"/>
    <mergeCell ref="J16:K17"/>
    <mergeCell ref="B22:B24"/>
    <mergeCell ref="C22:C24"/>
    <mergeCell ref="D22:D24"/>
    <mergeCell ref="F22:F24"/>
    <mergeCell ref="G22:G24"/>
    <mergeCell ref="I22:I24"/>
    <mergeCell ref="J22:K24"/>
    <mergeCell ref="B16:B17"/>
    <mergeCell ref="C16:C17"/>
    <mergeCell ref="D16:D17"/>
    <mergeCell ref="E16:E17"/>
    <mergeCell ref="F16:F17"/>
    <mergeCell ref="G16:G17"/>
    <mergeCell ref="I16:I17"/>
    <mergeCell ref="G25:G26"/>
    <mergeCell ref="I25:I26"/>
    <mergeCell ref="J25:K26"/>
    <mergeCell ref="E23:E24"/>
    <mergeCell ref="B25:B26"/>
    <mergeCell ref="C25:C26"/>
    <mergeCell ref="D25:D26"/>
    <mergeCell ref="E25:E26"/>
    <mergeCell ref="F25:F26"/>
  </mergeCells>
  <pageMargins left="0.70866141732283472" right="0.70866141732283472" top="0.74803149606299213" bottom="0.74803149606299213" header="0.31496062992125984" footer="0.31496062992125984"/>
  <pageSetup paperSize="9" scale="80" orientation="landscape" horizontalDpi="4294967293" verticalDpi="0"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4DC734-A1DC-402B-BFA6-9EA235937BAA}">
  <dimension ref="A1:O129"/>
  <sheetViews>
    <sheetView topLeftCell="A74" workbookViewId="0">
      <selection activeCell="H10" sqref="H10"/>
    </sheetView>
  </sheetViews>
  <sheetFormatPr baseColWidth="10" defaultColWidth="13.44140625" defaultRowHeight="13.8" x14ac:dyDescent="0.25"/>
  <cols>
    <col min="1" max="1" width="17.109375" style="229" customWidth="1"/>
    <col min="2" max="2" width="23.109375" style="229" customWidth="1"/>
    <col min="3" max="3" width="17.109375" style="226" customWidth="1"/>
    <col min="4" max="5" width="12.6640625" style="227" customWidth="1"/>
    <col min="6" max="7" width="9.5546875" style="226" customWidth="1"/>
    <col min="8" max="10" width="9.5546875" style="24" customWidth="1"/>
    <col min="11" max="16384" width="13.44140625" style="24"/>
  </cols>
  <sheetData>
    <row r="1" spans="1:10" ht="21.6" customHeight="1" x14ac:dyDescent="0.3">
      <c r="A1" s="798" t="s">
        <v>0</v>
      </c>
      <c r="B1" s="798"/>
      <c r="C1" s="798"/>
      <c r="D1" s="799"/>
      <c r="E1" s="312"/>
      <c r="F1" s="800" t="s">
        <v>1</v>
      </c>
      <c r="G1" s="801"/>
      <c r="H1" s="801"/>
      <c r="I1" s="801"/>
      <c r="J1" s="802"/>
    </row>
    <row r="2" spans="1:10" ht="15.75" customHeight="1" x14ac:dyDescent="0.25">
      <c r="A2" s="803" t="s">
        <v>324</v>
      </c>
      <c r="B2" s="804" t="s">
        <v>559</v>
      </c>
      <c r="C2" s="805"/>
      <c r="D2" s="806"/>
      <c r="E2" s="314"/>
      <c r="F2" s="315" t="s">
        <v>324</v>
      </c>
      <c r="G2" s="807" t="s">
        <v>560</v>
      </c>
      <c r="H2" s="807"/>
      <c r="I2" s="807"/>
      <c r="J2" s="807"/>
    </row>
    <row r="3" spans="1:10" ht="15.75" customHeight="1" x14ac:dyDescent="0.25">
      <c r="A3" s="803" t="s">
        <v>325</v>
      </c>
      <c r="B3" s="804" t="s">
        <v>561</v>
      </c>
      <c r="C3" s="805"/>
      <c r="D3" s="806"/>
      <c r="E3" s="314"/>
      <c r="F3" s="315" t="s">
        <v>336</v>
      </c>
      <c r="G3" s="807" t="s">
        <v>562</v>
      </c>
      <c r="H3" s="807"/>
      <c r="I3" s="807"/>
      <c r="J3" s="807"/>
    </row>
    <row r="4" spans="1:10" ht="15.75" customHeight="1" x14ac:dyDescent="0.25">
      <c r="A4" s="803"/>
      <c r="B4" s="808"/>
      <c r="C4" s="809"/>
      <c r="D4" s="809"/>
      <c r="E4" s="314"/>
      <c r="F4" s="315" t="s">
        <v>337</v>
      </c>
      <c r="G4" s="807" t="s">
        <v>563</v>
      </c>
      <c r="H4" s="807"/>
      <c r="I4" s="807"/>
      <c r="J4" s="807"/>
    </row>
    <row r="5" spans="1:10" ht="15.75" customHeight="1" x14ac:dyDescent="0.25">
      <c r="A5" s="803" t="s">
        <v>6</v>
      </c>
      <c r="B5" s="810">
        <v>34464426500029</v>
      </c>
      <c r="C5" s="811"/>
      <c r="D5" s="812"/>
      <c r="E5" s="316"/>
      <c r="F5" s="315" t="s">
        <v>564</v>
      </c>
      <c r="G5" s="813" t="s">
        <v>565</v>
      </c>
      <c r="H5" s="807"/>
      <c r="I5" s="807"/>
      <c r="J5" s="807"/>
    </row>
    <row r="6" spans="1:10" ht="15.75" customHeight="1" x14ac:dyDescent="0.25">
      <c r="A6" s="803" t="s">
        <v>8</v>
      </c>
      <c r="B6" s="814" t="s">
        <v>566</v>
      </c>
      <c r="C6" s="811"/>
      <c r="D6" s="812"/>
      <c r="E6" s="314"/>
      <c r="F6" s="315" t="s">
        <v>567</v>
      </c>
      <c r="G6" s="815" t="s">
        <v>568</v>
      </c>
      <c r="H6" s="815"/>
      <c r="I6" s="815"/>
      <c r="J6" s="815"/>
    </row>
    <row r="7" spans="1:10" ht="15.75" customHeight="1" x14ac:dyDescent="0.25">
      <c r="A7" s="803" t="s">
        <v>10</v>
      </c>
      <c r="B7" s="630"/>
      <c r="C7" s="631"/>
      <c r="D7" s="632"/>
      <c r="E7" s="316"/>
      <c r="F7" s="317" t="s">
        <v>325</v>
      </c>
      <c r="G7" s="807" t="s">
        <v>569</v>
      </c>
      <c r="H7" s="807"/>
      <c r="I7" s="807"/>
      <c r="J7" s="807"/>
    </row>
    <row r="8" spans="1:10" ht="15.75" customHeight="1" x14ac:dyDescent="0.25">
      <c r="A8" s="803" t="s">
        <v>11</v>
      </c>
      <c r="B8" s="816">
        <v>60</v>
      </c>
      <c r="C8" s="648"/>
      <c r="D8" s="628"/>
      <c r="E8" s="314"/>
      <c r="F8" s="646" t="s">
        <v>12</v>
      </c>
      <c r="G8" s="647"/>
      <c r="H8" s="319"/>
      <c r="I8" s="320">
        <v>1</v>
      </c>
      <c r="J8" s="320" t="s">
        <v>570</v>
      </c>
    </row>
    <row r="9" spans="1:10" ht="23.4" customHeight="1" x14ac:dyDescent="0.25">
      <c r="A9" s="817" t="s">
        <v>13</v>
      </c>
      <c r="B9" s="818">
        <v>151.66999999999999</v>
      </c>
      <c r="C9" s="325" t="s">
        <v>14</v>
      </c>
      <c r="D9" s="819">
        <v>11.88</v>
      </c>
      <c r="E9" s="314"/>
      <c r="F9" s="608" t="s">
        <v>571</v>
      </c>
      <c r="G9" s="610"/>
      <c r="H9" s="820">
        <v>45778</v>
      </c>
      <c r="I9" s="821" t="s">
        <v>572</v>
      </c>
      <c r="J9" s="820">
        <v>45688</v>
      </c>
    </row>
    <row r="10" spans="1:10" ht="26.25" customHeight="1" x14ac:dyDescent="0.25">
      <c r="A10" s="529"/>
      <c r="B10" s="822"/>
      <c r="C10" s="548"/>
      <c r="D10" s="549"/>
      <c r="E10" s="326"/>
      <c r="F10" s="325" t="s">
        <v>16</v>
      </c>
      <c r="G10" s="823">
        <v>45688</v>
      </c>
      <c r="H10" s="64"/>
      <c r="I10" s="64"/>
      <c r="J10" s="379"/>
    </row>
    <row r="11" spans="1:10" ht="13.95" customHeight="1" x14ac:dyDescent="0.25">
      <c r="A11" s="824"/>
      <c r="B11" s="824"/>
      <c r="C11" s="824"/>
      <c r="D11" s="824"/>
      <c r="E11" s="824"/>
      <c r="F11" s="824"/>
      <c r="G11" s="824"/>
      <c r="H11" s="824"/>
      <c r="I11" s="824"/>
      <c r="J11" s="824"/>
    </row>
    <row r="12" spans="1:10" ht="15.75" customHeight="1" x14ac:dyDescent="0.25">
      <c r="A12" s="609" t="s">
        <v>17</v>
      </c>
      <c r="B12" s="609"/>
      <c r="C12" s="609"/>
      <c r="D12" s="609"/>
      <c r="E12" s="609"/>
      <c r="F12" s="610"/>
      <c r="G12" s="328">
        <v>151.66999999999999</v>
      </c>
      <c r="H12" s="325" t="s">
        <v>18</v>
      </c>
      <c r="I12" s="329">
        <f>J12/G12</f>
        <v>20.456055910859106</v>
      </c>
      <c r="J12" s="330">
        <v>3102.57</v>
      </c>
    </row>
    <row r="13" spans="1:10" ht="15.75" hidden="1" customHeight="1" x14ac:dyDescent="0.25">
      <c r="A13" s="609" t="s">
        <v>240</v>
      </c>
      <c r="B13" s="609"/>
      <c r="C13" s="609"/>
      <c r="D13" s="609"/>
      <c r="E13" s="609"/>
      <c r="F13" s="610"/>
      <c r="G13" s="325"/>
      <c r="H13" s="325"/>
      <c r="I13" s="329"/>
      <c r="J13" s="330"/>
    </row>
    <row r="14" spans="1:10" ht="15" customHeight="1" x14ac:dyDescent="0.25">
      <c r="A14" s="609" t="s">
        <v>413</v>
      </c>
      <c r="B14" s="609"/>
      <c r="C14" s="609"/>
      <c r="D14" s="609"/>
      <c r="E14" s="609"/>
      <c r="F14" s="610"/>
      <c r="G14" s="331"/>
      <c r="H14" s="332"/>
      <c r="I14" s="329"/>
      <c r="J14" s="330"/>
    </row>
    <row r="15" spans="1:10" ht="15.75" hidden="1" customHeight="1" x14ac:dyDescent="0.25">
      <c r="A15" s="609" t="s">
        <v>573</v>
      </c>
      <c r="B15" s="609"/>
      <c r="C15" s="609"/>
      <c r="D15" s="609"/>
      <c r="E15" s="609"/>
      <c r="F15" s="610"/>
      <c r="G15" s="331"/>
      <c r="H15" s="332"/>
      <c r="I15" s="329"/>
      <c r="J15" s="330"/>
    </row>
    <row r="16" spans="1:10" ht="15.75" hidden="1" customHeight="1" x14ac:dyDescent="0.25">
      <c r="A16" s="609" t="s">
        <v>19</v>
      </c>
      <c r="B16" s="609"/>
      <c r="C16" s="609"/>
      <c r="D16" s="609"/>
      <c r="E16" s="609"/>
      <c r="F16" s="610"/>
      <c r="G16" s="331"/>
      <c r="H16" s="332" t="s">
        <v>18</v>
      </c>
      <c r="I16" s="329"/>
      <c r="J16" s="330"/>
    </row>
    <row r="17" spans="1:10" ht="15.75" hidden="1" customHeight="1" x14ac:dyDescent="0.25">
      <c r="A17" s="609" t="s">
        <v>241</v>
      </c>
      <c r="B17" s="609"/>
      <c r="C17" s="609"/>
      <c r="D17" s="609"/>
      <c r="E17" s="609"/>
      <c r="F17" s="610"/>
      <c r="G17" s="331"/>
      <c r="H17" s="332" t="s">
        <v>18</v>
      </c>
      <c r="I17" s="329"/>
      <c r="J17" s="330"/>
    </row>
    <row r="18" spans="1:10" ht="15.75" hidden="1" customHeight="1" x14ac:dyDescent="0.25">
      <c r="A18" s="609" t="s">
        <v>242</v>
      </c>
      <c r="B18" s="609"/>
      <c r="C18" s="609"/>
      <c r="D18" s="609"/>
      <c r="E18" s="609"/>
      <c r="F18" s="610"/>
      <c r="G18" s="331"/>
      <c r="H18" s="332" t="s">
        <v>18</v>
      </c>
      <c r="I18" s="329"/>
      <c r="J18" s="330"/>
    </row>
    <row r="19" spans="1:10" ht="15.75" hidden="1" customHeight="1" x14ac:dyDescent="0.25">
      <c r="A19" s="609" t="s">
        <v>243</v>
      </c>
      <c r="B19" s="609"/>
      <c r="C19" s="609"/>
      <c r="D19" s="609"/>
      <c r="E19" s="609"/>
      <c r="F19" s="610"/>
      <c r="G19" s="331"/>
      <c r="H19" s="332" t="s">
        <v>18</v>
      </c>
      <c r="I19" s="329"/>
      <c r="J19" s="330"/>
    </row>
    <row r="20" spans="1:10" ht="15.75" hidden="1" customHeight="1" x14ac:dyDescent="0.25">
      <c r="A20" s="609" t="s">
        <v>244</v>
      </c>
      <c r="B20" s="609"/>
      <c r="C20" s="609"/>
      <c r="D20" s="609"/>
      <c r="E20" s="609"/>
      <c r="F20" s="610"/>
      <c r="G20" s="462" t="e">
        <f>'[1]Masque de Saisie'!E47</f>
        <v>#REF!</v>
      </c>
      <c r="H20" s="332" t="s">
        <v>18</v>
      </c>
      <c r="I20" s="329">
        <f>ROUND(((J12+J15)*1.25/G12),6)</f>
        <v>25.570070000000001</v>
      </c>
      <c r="J20" s="330"/>
    </row>
    <row r="21" spans="1:10" ht="15.75" hidden="1" customHeight="1" x14ac:dyDescent="0.25">
      <c r="A21" s="609" t="s">
        <v>245</v>
      </c>
      <c r="B21" s="609"/>
      <c r="C21" s="609"/>
      <c r="D21" s="609"/>
      <c r="E21" s="609"/>
      <c r="F21" s="610"/>
      <c r="G21" s="331"/>
      <c r="H21" s="332" t="s">
        <v>20</v>
      </c>
      <c r="I21" s="325"/>
      <c r="J21" s="330"/>
    </row>
    <row r="22" spans="1:10" ht="15.75" hidden="1" customHeight="1" x14ac:dyDescent="0.25">
      <c r="A22" s="609" t="s">
        <v>574</v>
      </c>
      <c r="B22" s="609"/>
      <c r="C22" s="609"/>
      <c r="D22" s="609"/>
      <c r="E22" s="609"/>
      <c r="F22" s="610"/>
      <c r="G22" s="327"/>
      <c r="H22" s="333"/>
      <c r="I22" s="321"/>
      <c r="J22" s="334"/>
    </row>
    <row r="23" spans="1:10" ht="15.75" hidden="1" customHeight="1" x14ac:dyDescent="0.25">
      <c r="A23" s="609" t="s">
        <v>21</v>
      </c>
      <c r="B23" s="609"/>
      <c r="C23" s="609"/>
      <c r="D23" s="609"/>
      <c r="E23" s="609"/>
      <c r="F23" s="610"/>
      <c r="G23" s="327"/>
      <c r="H23" s="333"/>
      <c r="I23" s="321"/>
      <c r="J23" s="334"/>
    </row>
    <row r="24" spans="1:10" ht="15.75" hidden="1" customHeight="1" x14ac:dyDescent="0.25">
      <c r="A24" s="609" t="s">
        <v>22</v>
      </c>
      <c r="B24" s="609"/>
      <c r="C24" s="609"/>
      <c r="D24" s="609"/>
      <c r="E24" s="609"/>
      <c r="F24" s="610"/>
      <c r="G24" s="327"/>
      <c r="H24" s="333"/>
      <c r="I24" s="321"/>
      <c r="J24" s="334"/>
    </row>
    <row r="25" spans="1:10" ht="15.75" hidden="1" customHeight="1" x14ac:dyDescent="0.25">
      <c r="A25" s="609" t="s">
        <v>23</v>
      </c>
      <c r="B25" s="609"/>
      <c r="C25" s="609"/>
      <c r="D25" s="609"/>
      <c r="E25" s="609"/>
      <c r="F25" s="610"/>
      <c r="G25" s="327"/>
      <c r="H25" s="333"/>
      <c r="I25" s="321"/>
      <c r="J25" s="334"/>
    </row>
    <row r="26" spans="1:10" ht="15.75" hidden="1" customHeight="1" x14ac:dyDescent="0.25">
      <c r="A26" s="609" t="s">
        <v>24</v>
      </c>
      <c r="B26" s="609"/>
      <c r="C26" s="609"/>
      <c r="D26" s="609"/>
      <c r="E26" s="609"/>
      <c r="F26" s="610"/>
      <c r="G26" s="327"/>
      <c r="H26" s="333"/>
      <c r="I26" s="321"/>
      <c r="J26" s="334"/>
    </row>
    <row r="27" spans="1:10" ht="15.75" hidden="1" customHeight="1" x14ac:dyDescent="0.25">
      <c r="A27" s="609" t="s">
        <v>25</v>
      </c>
      <c r="B27" s="609"/>
      <c r="C27" s="609"/>
      <c r="D27" s="609"/>
      <c r="E27" s="609"/>
      <c r="F27" s="610"/>
      <c r="G27" s="327"/>
      <c r="H27" s="333"/>
      <c r="I27" s="321"/>
      <c r="J27" s="334"/>
    </row>
    <row r="28" spans="1:10" ht="15.75" hidden="1" customHeight="1" x14ac:dyDescent="0.25">
      <c r="A28" s="609" t="s">
        <v>26</v>
      </c>
      <c r="B28" s="609"/>
      <c r="C28" s="609"/>
      <c r="D28" s="609"/>
      <c r="E28" s="609"/>
      <c r="F28" s="610"/>
      <c r="G28" s="327"/>
      <c r="H28" s="333"/>
      <c r="I28" s="321"/>
      <c r="J28" s="334"/>
    </row>
    <row r="29" spans="1:10" ht="15.75" hidden="1" customHeight="1" x14ac:dyDescent="0.25">
      <c r="A29" s="609" t="s">
        <v>27</v>
      </c>
      <c r="B29" s="609"/>
      <c r="C29" s="609"/>
      <c r="D29" s="609"/>
      <c r="E29" s="609"/>
      <c r="F29" s="610"/>
      <c r="G29" s="327"/>
      <c r="H29" s="333"/>
      <c r="I29" s="321"/>
      <c r="J29" s="334"/>
    </row>
    <row r="30" spans="1:10" ht="15.75" hidden="1" customHeight="1" x14ac:dyDescent="0.25">
      <c r="A30" s="609" t="s">
        <v>28</v>
      </c>
      <c r="B30" s="609"/>
      <c r="C30" s="609"/>
      <c r="D30" s="609"/>
      <c r="E30" s="609"/>
      <c r="F30" s="610"/>
      <c r="G30" s="327"/>
      <c r="H30" s="333"/>
      <c r="I30" s="321"/>
      <c r="J30" s="334"/>
    </row>
    <row r="31" spans="1:10" ht="15.75" hidden="1" customHeight="1" x14ac:dyDescent="0.25">
      <c r="A31" s="609"/>
      <c r="B31" s="609"/>
      <c r="C31" s="609"/>
      <c r="D31" s="609"/>
      <c r="E31" s="609"/>
      <c r="F31" s="610"/>
      <c r="G31" s="327"/>
      <c r="H31" s="333"/>
      <c r="I31" s="321"/>
      <c r="J31" s="334"/>
    </row>
    <row r="32" spans="1:10" ht="15.75" customHeight="1" x14ac:dyDescent="0.3">
      <c r="A32" s="825" t="s">
        <v>29</v>
      </c>
      <c r="B32" s="825"/>
      <c r="C32" s="819">
        <v>3925</v>
      </c>
      <c r="D32" s="649" t="s">
        <v>30</v>
      </c>
      <c r="E32" s="650"/>
      <c r="F32" s="650"/>
      <c r="G32" s="650"/>
      <c r="H32" s="650"/>
      <c r="I32" s="651"/>
      <c r="J32" s="826">
        <f>J12</f>
        <v>3102.57</v>
      </c>
    </row>
    <row r="33" spans="1:12" ht="14.25" customHeight="1" x14ac:dyDescent="0.25">
      <c r="A33" s="827"/>
      <c r="B33" s="827"/>
      <c r="C33" s="827"/>
      <c r="D33" s="827"/>
      <c r="E33" s="827"/>
      <c r="F33" s="827"/>
      <c r="G33" s="827"/>
      <c r="H33" s="827"/>
      <c r="I33" s="827"/>
      <c r="J33" s="828"/>
    </row>
    <row r="34" spans="1:12" ht="45.6" customHeight="1" x14ac:dyDescent="0.25">
      <c r="A34" s="829" t="s">
        <v>296</v>
      </c>
      <c r="B34" s="830"/>
      <c r="C34" s="831" t="s">
        <v>32</v>
      </c>
      <c r="D34" s="831"/>
      <c r="E34" s="372" t="s">
        <v>33</v>
      </c>
      <c r="F34" s="372" t="s">
        <v>34</v>
      </c>
      <c r="G34" s="831" t="s">
        <v>35</v>
      </c>
      <c r="H34" s="831"/>
      <c r="I34" s="831" t="s">
        <v>36</v>
      </c>
      <c r="J34" s="831"/>
    </row>
    <row r="35" spans="1:12" ht="19.95" customHeight="1" x14ac:dyDescent="0.25">
      <c r="A35" s="832" t="s">
        <v>37</v>
      </c>
      <c r="B35" s="833"/>
      <c r="C35" s="724"/>
      <c r="D35" s="724"/>
      <c r="E35" s="724"/>
      <c r="F35" s="724"/>
      <c r="G35" s="724"/>
      <c r="H35" s="724"/>
      <c r="I35" s="724"/>
      <c r="J35" s="724"/>
    </row>
    <row r="36" spans="1:12" ht="30.6" customHeight="1" x14ac:dyDescent="0.25">
      <c r="A36" s="599" t="s">
        <v>279</v>
      </c>
      <c r="B36" s="598"/>
      <c r="C36" s="834">
        <f>J32</f>
        <v>3102.57</v>
      </c>
      <c r="D36" s="834"/>
      <c r="E36" s="835"/>
      <c r="F36" s="836">
        <f>VLOOKUP(A36,TABLETAUX1,4,FALSE)</f>
        <v>7.0000000000000007E-2</v>
      </c>
      <c r="G36" s="834">
        <f>ROUND(C36*E36,2)</f>
        <v>0</v>
      </c>
      <c r="H36" s="834"/>
      <c r="I36" s="834">
        <f>ROUND(C36*F36,2)</f>
        <v>217.18</v>
      </c>
      <c r="J36" s="834"/>
    </row>
    <row r="37" spans="1:12" ht="30.6" customHeight="1" x14ac:dyDescent="0.25">
      <c r="A37" s="599" t="s">
        <v>206</v>
      </c>
      <c r="B37" s="598"/>
      <c r="C37" s="834"/>
      <c r="D37" s="834"/>
      <c r="E37" s="835"/>
      <c r="F37" s="836">
        <f>VLOOKUP(A37,TABLETAUX1,4,FALSE)</f>
        <v>0.06</v>
      </c>
      <c r="G37" s="834">
        <f t="shared" ref="G37:G41" si="0">ROUND(C37*E37,2)</f>
        <v>0</v>
      </c>
      <c r="H37" s="834"/>
      <c r="I37" s="834">
        <f t="shared" ref="I37:I41" si="1">ROUND(C37*F37,2)</f>
        <v>0</v>
      </c>
      <c r="J37" s="834"/>
    </row>
    <row r="38" spans="1:12" ht="30.75" hidden="1" customHeight="1" x14ac:dyDescent="0.25">
      <c r="A38" s="666"/>
      <c r="B38" s="666"/>
      <c r="C38" s="834"/>
      <c r="D38" s="834"/>
      <c r="E38" s="837"/>
      <c r="F38" s="836"/>
      <c r="G38" s="834">
        <f t="shared" si="0"/>
        <v>0</v>
      </c>
      <c r="H38" s="834"/>
      <c r="I38" s="834">
        <f t="shared" si="1"/>
        <v>0</v>
      </c>
      <c r="J38" s="834"/>
    </row>
    <row r="39" spans="1:12" ht="22.8" customHeight="1" x14ac:dyDescent="0.25">
      <c r="A39" s="599" t="s">
        <v>256</v>
      </c>
      <c r="B39" s="598"/>
      <c r="C39" s="834">
        <f>J32</f>
        <v>3102.57</v>
      </c>
      <c r="D39" s="834"/>
      <c r="E39" s="835">
        <f>VLOOKUP(A39,TABLETAUX1,3,FALSE)</f>
        <v>0.01</v>
      </c>
      <c r="F39" s="836">
        <f>VLOOKUP(A39,TABLETAUX1,4,FALSE)</f>
        <v>1.7999999999999999E-2</v>
      </c>
      <c r="G39" s="834">
        <f t="shared" si="0"/>
        <v>31.03</v>
      </c>
      <c r="H39" s="834"/>
      <c r="I39" s="834">
        <f t="shared" si="1"/>
        <v>55.85</v>
      </c>
      <c r="J39" s="834"/>
    </row>
    <row r="40" spans="1:12" ht="22.8" customHeight="1" x14ac:dyDescent="0.25">
      <c r="A40" s="597" t="s">
        <v>207</v>
      </c>
      <c r="B40" s="838"/>
      <c r="C40" s="839"/>
      <c r="D40" s="839"/>
      <c r="E40" s="835"/>
      <c r="F40" s="836"/>
      <c r="G40" s="834">
        <f t="shared" si="0"/>
        <v>0</v>
      </c>
      <c r="H40" s="834"/>
      <c r="I40" s="834">
        <f t="shared" si="1"/>
        <v>0</v>
      </c>
      <c r="J40" s="834"/>
    </row>
    <row r="41" spans="1:12" ht="20.399999999999999" customHeight="1" x14ac:dyDescent="0.25">
      <c r="A41" s="599" t="s">
        <v>202</v>
      </c>
      <c r="B41" s="598"/>
      <c r="C41" s="839"/>
      <c r="D41" s="839"/>
      <c r="E41" s="835">
        <f>VLOOKUP(A41,TABLETAUX1,3,FALSE)</f>
        <v>1.12E-2</v>
      </c>
      <c r="F41" s="836">
        <f>VLOOKUP(A41,TABLETAUX1,4,FALSE)</f>
        <v>1.6799999999999999E-2</v>
      </c>
      <c r="G41" s="834">
        <f t="shared" si="0"/>
        <v>0</v>
      </c>
      <c r="H41" s="834"/>
      <c r="I41" s="834">
        <f t="shared" si="1"/>
        <v>0</v>
      </c>
      <c r="J41" s="834"/>
    </row>
    <row r="42" spans="1:12" ht="22.8" hidden="1" customHeight="1" x14ac:dyDescent="0.25">
      <c r="A42" s="599"/>
      <c r="B42" s="598"/>
      <c r="C42" s="839"/>
      <c r="D42" s="839"/>
      <c r="E42" s="835"/>
      <c r="F42" s="836"/>
      <c r="G42" s="839"/>
      <c r="H42" s="839"/>
      <c r="I42" s="839"/>
      <c r="J42" s="839"/>
    </row>
    <row r="43" spans="1:12" ht="22.8" hidden="1" customHeight="1" x14ac:dyDescent="0.25">
      <c r="A43" s="840"/>
      <c r="B43" s="840"/>
      <c r="C43" s="839"/>
      <c r="D43" s="839"/>
      <c r="E43" s="835"/>
      <c r="F43" s="836"/>
      <c r="G43" s="839"/>
      <c r="H43" s="839"/>
      <c r="I43" s="839"/>
      <c r="J43" s="839"/>
    </row>
    <row r="44" spans="1:12" ht="22.8" customHeight="1" x14ac:dyDescent="0.25">
      <c r="A44" s="841" t="s">
        <v>38</v>
      </c>
      <c r="B44" s="841"/>
      <c r="C44" s="842"/>
      <c r="D44" s="842"/>
      <c r="E44" s="835"/>
      <c r="F44" s="843"/>
      <c r="G44" s="834"/>
      <c r="H44" s="834"/>
      <c r="I44" s="834"/>
      <c r="J44" s="834"/>
    </row>
    <row r="45" spans="1:12" ht="19.95" customHeight="1" x14ac:dyDescent="0.25">
      <c r="A45" s="841" t="s">
        <v>39</v>
      </c>
      <c r="B45" s="841"/>
      <c r="C45" s="842"/>
      <c r="D45" s="842"/>
      <c r="E45" s="835"/>
      <c r="F45" s="843"/>
      <c r="G45" s="834"/>
      <c r="H45" s="834"/>
      <c r="I45" s="834"/>
      <c r="J45" s="834"/>
    </row>
    <row r="46" spans="1:12" ht="28.2" customHeight="1" x14ac:dyDescent="0.25">
      <c r="A46" s="659" t="s">
        <v>40</v>
      </c>
      <c r="B46" s="659"/>
      <c r="C46" s="842"/>
      <c r="D46" s="842"/>
      <c r="E46" s="835"/>
      <c r="F46" s="843"/>
      <c r="G46" s="834"/>
      <c r="H46" s="834"/>
      <c r="I46" s="834"/>
      <c r="J46" s="834"/>
    </row>
    <row r="47" spans="1:12" ht="28.2" customHeight="1" x14ac:dyDescent="0.25">
      <c r="A47" s="659" t="s">
        <v>41</v>
      </c>
      <c r="B47" s="659"/>
      <c r="C47" s="834"/>
      <c r="D47" s="834"/>
      <c r="E47" s="835"/>
      <c r="F47" s="843"/>
      <c r="G47" s="834"/>
      <c r="H47" s="834"/>
      <c r="I47" s="834"/>
      <c r="J47" s="834"/>
    </row>
    <row r="48" spans="1:12" ht="28.2" customHeight="1" x14ac:dyDescent="0.25">
      <c r="A48" s="659" t="s">
        <v>42</v>
      </c>
      <c r="B48" s="659"/>
      <c r="C48" s="834"/>
      <c r="D48" s="834"/>
      <c r="E48" s="844"/>
      <c r="F48" s="843"/>
      <c r="G48" s="834"/>
      <c r="H48" s="834"/>
      <c r="I48" s="834"/>
      <c r="J48" s="834"/>
      <c r="K48" s="677"/>
      <c r="L48" s="677"/>
    </row>
    <row r="49" spans="1:14" ht="28.2" customHeight="1" x14ac:dyDescent="0.25">
      <c r="A49" s="659" t="s">
        <v>43</v>
      </c>
      <c r="B49" s="659"/>
      <c r="C49" s="845"/>
      <c r="D49" s="845"/>
      <c r="E49" s="846"/>
      <c r="F49" s="843"/>
      <c r="G49" s="834"/>
      <c r="H49" s="834"/>
      <c r="I49" s="834"/>
      <c r="J49" s="834"/>
      <c r="K49" s="233"/>
      <c r="L49" s="234"/>
      <c r="M49" s="235"/>
      <c r="N49" s="234"/>
    </row>
    <row r="50" spans="1:14" ht="28.2" customHeight="1" x14ac:dyDescent="0.25">
      <c r="A50" s="751" t="s">
        <v>75</v>
      </c>
      <c r="B50" s="847"/>
      <c r="C50" s="845"/>
      <c r="D50" s="845"/>
      <c r="E50" s="846"/>
      <c r="F50" s="843"/>
      <c r="G50" s="834"/>
      <c r="H50" s="834"/>
      <c r="I50" s="834"/>
      <c r="J50" s="834"/>
      <c r="K50" s="233"/>
      <c r="L50" s="234"/>
      <c r="M50" s="235"/>
      <c r="N50" s="234"/>
    </row>
    <row r="51" spans="1:14" ht="28.2" customHeight="1" x14ac:dyDescent="0.25">
      <c r="A51" s="751" t="s">
        <v>76</v>
      </c>
      <c r="B51" s="847"/>
      <c r="C51" s="845"/>
      <c r="D51" s="845"/>
      <c r="E51" s="846"/>
      <c r="F51" s="843"/>
      <c r="G51" s="834"/>
      <c r="H51" s="834"/>
      <c r="I51" s="834"/>
      <c r="J51" s="834"/>
      <c r="K51" s="233"/>
      <c r="L51" s="234"/>
      <c r="M51" s="235"/>
      <c r="N51" s="234"/>
    </row>
    <row r="52" spans="1:14" ht="28.2" customHeight="1" x14ac:dyDescent="0.25">
      <c r="A52" s="751" t="s">
        <v>77</v>
      </c>
      <c r="B52" s="847"/>
      <c r="C52" s="845"/>
      <c r="D52" s="845"/>
      <c r="E52" s="846"/>
      <c r="F52" s="843"/>
      <c r="G52" s="834"/>
      <c r="H52" s="834"/>
      <c r="I52" s="834"/>
      <c r="J52" s="834"/>
      <c r="K52" s="233"/>
      <c r="L52" s="234"/>
      <c r="M52" s="235"/>
      <c r="N52" s="234"/>
    </row>
    <row r="53" spans="1:14" ht="28.2" customHeight="1" x14ac:dyDescent="0.25">
      <c r="A53" s="751" t="s">
        <v>78</v>
      </c>
      <c r="B53" s="847"/>
      <c r="C53" s="845"/>
      <c r="D53" s="845"/>
      <c r="E53" s="846"/>
      <c r="F53" s="843"/>
      <c r="G53" s="834"/>
      <c r="H53" s="834"/>
      <c r="I53" s="834"/>
      <c r="J53" s="834"/>
      <c r="K53" s="233"/>
      <c r="L53" s="234"/>
      <c r="M53" s="235"/>
      <c r="N53" s="234"/>
    </row>
    <row r="54" spans="1:14" ht="22.95" customHeight="1" x14ac:dyDescent="0.25">
      <c r="A54" s="848" t="s">
        <v>44</v>
      </c>
      <c r="B54" s="848"/>
      <c r="C54" s="845"/>
      <c r="D54" s="845"/>
      <c r="E54" s="846"/>
      <c r="F54" s="843"/>
      <c r="G54" s="834"/>
      <c r="H54" s="834"/>
      <c r="I54" s="834"/>
      <c r="J54" s="834"/>
      <c r="K54" s="236"/>
      <c r="M54" s="237"/>
      <c r="N54" s="228"/>
    </row>
    <row r="55" spans="1:14" ht="22.95" customHeight="1" x14ac:dyDescent="0.25">
      <c r="A55" s="659" t="s">
        <v>257</v>
      </c>
      <c r="B55" s="659"/>
      <c r="C55" s="834"/>
      <c r="D55" s="834"/>
      <c r="E55" s="849"/>
      <c r="F55" s="843"/>
      <c r="G55" s="834"/>
      <c r="H55" s="834"/>
      <c r="I55" s="834"/>
      <c r="J55" s="834"/>
      <c r="K55" s="236"/>
      <c r="M55" s="237"/>
      <c r="N55" s="228"/>
    </row>
    <row r="56" spans="1:14" ht="22.95" customHeight="1" x14ac:dyDescent="0.25">
      <c r="A56" s="659" t="s">
        <v>258</v>
      </c>
      <c r="B56" s="659"/>
      <c r="C56" s="834"/>
      <c r="D56" s="834"/>
      <c r="E56" s="849"/>
      <c r="F56" s="843"/>
      <c r="G56" s="834"/>
      <c r="H56" s="834"/>
      <c r="I56" s="834"/>
      <c r="J56" s="834"/>
      <c r="K56" s="236"/>
      <c r="M56" s="237"/>
      <c r="N56" s="228"/>
    </row>
    <row r="57" spans="1:14" ht="22.95" customHeight="1" x14ac:dyDescent="0.25">
      <c r="A57" s="848" t="s">
        <v>45</v>
      </c>
      <c r="B57" s="848"/>
      <c r="C57" s="834"/>
      <c r="D57" s="834"/>
      <c r="E57" s="846"/>
      <c r="F57" s="843"/>
      <c r="G57" s="834"/>
      <c r="H57" s="834"/>
      <c r="I57" s="834"/>
      <c r="J57" s="834"/>
      <c r="K57" s="236"/>
      <c r="L57" s="239"/>
    </row>
    <row r="58" spans="1:14" ht="22.95" customHeight="1" x14ac:dyDescent="0.25">
      <c r="A58" s="659" t="s">
        <v>575</v>
      </c>
      <c r="B58" s="659"/>
      <c r="C58" s="834"/>
      <c r="D58" s="834"/>
      <c r="E58" s="846"/>
      <c r="F58" s="843"/>
      <c r="G58" s="834"/>
      <c r="H58" s="834"/>
      <c r="I58" s="834"/>
      <c r="J58" s="834"/>
      <c r="K58" s="236"/>
      <c r="L58" s="239"/>
    </row>
    <row r="59" spans="1:14" ht="22.95" customHeight="1" x14ac:dyDescent="0.25">
      <c r="A59" s="659" t="s">
        <v>285</v>
      </c>
      <c r="B59" s="659"/>
      <c r="C59" s="834"/>
      <c r="D59" s="834"/>
      <c r="E59" s="850"/>
      <c r="F59" s="843"/>
      <c r="G59" s="834"/>
      <c r="H59" s="834"/>
      <c r="I59" s="851"/>
      <c r="J59" s="852"/>
      <c r="K59" s="236"/>
      <c r="L59" s="239"/>
    </row>
    <row r="60" spans="1:14" ht="22.95" customHeight="1" x14ac:dyDescent="0.3">
      <c r="A60" s="848" t="s">
        <v>576</v>
      </c>
      <c r="B60" s="848"/>
      <c r="C60" s="834"/>
      <c r="D60" s="834"/>
      <c r="E60" s="853"/>
      <c r="F60" s="843"/>
      <c r="G60" s="834"/>
      <c r="H60" s="834"/>
      <c r="I60" s="834"/>
      <c r="J60" s="834"/>
      <c r="K60" s="236"/>
      <c r="L60" s="230"/>
    </row>
    <row r="61" spans="1:14" ht="22.95" customHeight="1" x14ac:dyDescent="0.25">
      <c r="A61" s="854" t="s">
        <v>48</v>
      </c>
      <c r="B61" s="855"/>
      <c r="C61" s="834"/>
      <c r="D61" s="834"/>
      <c r="E61" s="856"/>
      <c r="F61" s="857"/>
      <c r="G61" s="858"/>
      <c r="H61" s="859"/>
      <c r="I61" s="834"/>
      <c r="J61" s="834"/>
    </row>
    <row r="62" spans="1:14" ht="22.95" customHeight="1" x14ac:dyDescent="0.25">
      <c r="A62" s="681" t="s">
        <v>49</v>
      </c>
      <c r="B62" s="681"/>
      <c r="C62" s="834"/>
      <c r="D62" s="834"/>
      <c r="E62" s="853"/>
      <c r="F62" s="860"/>
      <c r="G62" s="858"/>
      <c r="H62" s="859"/>
      <c r="I62" s="834"/>
      <c r="J62" s="834"/>
    </row>
    <row r="63" spans="1:14" ht="22.95" customHeight="1" x14ac:dyDescent="0.25">
      <c r="A63" s="681" t="s">
        <v>50</v>
      </c>
      <c r="B63" s="681"/>
      <c r="C63" s="834"/>
      <c r="D63" s="834"/>
      <c r="E63" s="853"/>
      <c r="F63" s="860"/>
      <c r="G63" s="858"/>
      <c r="H63" s="859"/>
      <c r="I63" s="834"/>
      <c r="J63" s="834"/>
    </row>
    <row r="64" spans="1:14" ht="22.95" customHeight="1" x14ac:dyDescent="0.25">
      <c r="A64" s="681" t="s">
        <v>51</v>
      </c>
      <c r="B64" s="681"/>
      <c r="C64" s="834"/>
      <c r="D64" s="834"/>
      <c r="E64" s="853"/>
      <c r="F64" s="860"/>
      <c r="G64" s="858"/>
      <c r="H64" s="859"/>
      <c r="I64" s="858"/>
      <c r="J64" s="859"/>
    </row>
    <row r="65" spans="1:10" ht="22.95" customHeight="1" x14ac:dyDescent="0.25">
      <c r="A65" s="681" t="s">
        <v>52</v>
      </c>
      <c r="B65" s="681"/>
      <c r="C65" s="834"/>
      <c r="D65" s="834"/>
      <c r="E65" s="853"/>
      <c r="F65" s="860"/>
      <c r="G65" s="834"/>
      <c r="H65" s="834"/>
      <c r="I65" s="834"/>
      <c r="J65" s="834"/>
    </row>
    <row r="66" spans="1:10" ht="22.95" customHeight="1" x14ac:dyDescent="0.25">
      <c r="A66" s="681" t="s">
        <v>53</v>
      </c>
      <c r="B66" s="681"/>
      <c r="C66" s="834"/>
      <c r="D66" s="834"/>
      <c r="E66" s="853"/>
      <c r="F66" s="860"/>
      <c r="G66" s="834"/>
      <c r="H66" s="834"/>
      <c r="I66" s="834"/>
      <c r="J66" s="834"/>
    </row>
    <row r="67" spans="1:10" ht="22.95" customHeight="1" x14ac:dyDescent="0.25">
      <c r="A67" s="848" t="s">
        <v>288</v>
      </c>
      <c r="B67" s="861"/>
      <c r="C67" s="858"/>
      <c r="D67" s="859"/>
      <c r="E67" s="862"/>
      <c r="F67" s="860"/>
      <c r="G67" s="834"/>
      <c r="H67" s="834"/>
      <c r="I67" s="834"/>
      <c r="J67" s="834"/>
    </row>
    <row r="68" spans="1:10" ht="27.6" customHeight="1" x14ac:dyDescent="0.25">
      <c r="A68" s="681" t="s">
        <v>54</v>
      </c>
      <c r="B68" s="681"/>
      <c r="C68" s="858"/>
      <c r="D68" s="859"/>
      <c r="E68" s="863"/>
      <c r="F68" s="860"/>
      <c r="G68" s="864"/>
      <c r="H68" s="864"/>
      <c r="I68" s="834"/>
      <c r="J68" s="834"/>
    </row>
    <row r="69" spans="1:10" ht="22.95" customHeight="1" x14ac:dyDescent="0.25">
      <c r="A69" s="681" t="s">
        <v>55</v>
      </c>
      <c r="B69" s="681"/>
      <c r="C69" s="858"/>
      <c r="D69" s="859"/>
      <c r="E69" s="865"/>
      <c r="F69" s="860"/>
      <c r="G69" s="866"/>
      <c r="H69" s="866"/>
      <c r="I69" s="867"/>
      <c r="J69" s="867"/>
    </row>
    <row r="70" spans="1:10" ht="22.95" customHeight="1" x14ac:dyDescent="0.25">
      <c r="A70" s="868" t="s">
        <v>259</v>
      </c>
      <c r="B70" s="869"/>
      <c r="C70" s="858"/>
      <c r="D70" s="859"/>
      <c r="E70" s="865"/>
      <c r="F70" s="860"/>
      <c r="G70" s="834"/>
      <c r="H70" s="834"/>
      <c r="I70" s="834"/>
      <c r="J70" s="834"/>
    </row>
    <row r="71" spans="1:10" ht="22.95" customHeight="1" x14ac:dyDescent="0.25">
      <c r="A71" s="681" t="s">
        <v>260</v>
      </c>
      <c r="B71" s="681"/>
      <c r="C71" s="858"/>
      <c r="D71" s="859"/>
      <c r="E71" s="835"/>
      <c r="F71" s="860"/>
      <c r="G71" s="834"/>
      <c r="H71" s="834"/>
      <c r="I71" s="834"/>
      <c r="J71" s="834"/>
    </row>
    <row r="72" spans="1:10" ht="22.95" customHeight="1" x14ac:dyDescent="0.25">
      <c r="A72" s="681" t="s">
        <v>261</v>
      </c>
      <c r="B72" s="681"/>
      <c r="C72" s="858"/>
      <c r="D72" s="859"/>
      <c r="E72" s="835"/>
      <c r="F72" s="860"/>
      <c r="G72" s="834"/>
      <c r="H72" s="834"/>
      <c r="I72" s="834"/>
      <c r="J72" s="834"/>
    </row>
    <row r="73" spans="1:10" ht="22.95" customHeight="1" x14ac:dyDescent="0.25">
      <c r="A73" s="681" t="s">
        <v>208</v>
      </c>
      <c r="B73" s="681"/>
      <c r="C73" s="839"/>
      <c r="D73" s="839"/>
      <c r="E73" s="835"/>
      <c r="F73" s="836"/>
      <c r="G73" s="839"/>
      <c r="H73" s="839"/>
      <c r="I73" s="839"/>
      <c r="J73" s="839"/>
    </row>
    <row r="74" spans="1:10" ht="22.95" customHeight="1" x14ac:dyDescent="0.25">
      <c r="A74" s="681" t="s">
        <v>577</v>
      </c>
      <c r="B74" s="681"/>
      <c r="C74" s="870"/>
      <c r="D74" s="871"/>
      <c r="E74" s="835"/>
      <c r="F74" s="872"/>
      <c r="G74" s="873"/>
      <c r="H74" s="874"/>
      <c r="I74" s="873"/>
      <c r="J74" s="874"/>
    </row>
    <row r="75" spans="1:10" ht="30.6" customHeight="1" x14ac:dyDescent="0.25">
      <c r="A75" s="706" t="s">
        <v>232</v>
      </c>
      <c r="B75" s="707"/>
      <c r="C75" s="858"/>
      <c r="D75" s="859"/>
      <c r="E75" s="875"/>
      <c r="F75" s="860"/>
      <c r="G75" s="834"/>
      <c r="H75" s="834"/>
      <c r="I75" s="834"/>
      <c r="J75" s="834"/>
    </row>
    <row r="76" spans="1:10" ht="30.6" customHeight="1" x14ac:dyDescent="0.25">
      <c r="A76" s="681" t="s">
        <v>262</v>
      </c>
      <c r="B76" s="681"/>
      <c r="C76" s="858"/>
      <c r="D76" s="859"/>
      <c r="E76" s="875"/>
      <c r="F76" s="875"/>
      <c r="G76" s="867"/>
      <c r="H76" s="867"/>
      <c r="I76" s="867"/>
      <c r="J76" s="867"/>
    </row>
    <row r="77" spans="1:10" ht="30" customHeight="1" x14ac:dyDescent="0.25">
      <c r="A77" s="681" t="s">
        <v>263</v>
      </c>
      <c r="B77" s="681"/>
      <c r="C77" s="858"/>
      <c r="D77" s="859"/>
      <c r="E77" s="875"/>
      <c r="F77" s="875"/>
      <c r="G77" s="867"/>
      <c r="H77" s="867"/>
      <c r="I77" s="834"/>
      <c r="J77" s="834"/>
    </row>
    <row r="78" spans="1:10" customFormat="1" ht="22.8" customHeight="1" x14ac:dyDescent="0.3">
      <c r="A78" s="686" t="s">
        <v>65</v>
      </c>
      <c r="B78" s="686"/>
      <c r="C78" s="686"/>
      <c r="D78" s="686"/>
      <c r="E78" s="686"/>
      <c r="F78" s="686"/>
      <c r="G78" s="686"/>
      <c r="H78" s="686"/>
      <c r="I78" s="686"/>
      <c r="J78" s="876"/>
    </row>
    <row r="79" spans="1:10" customFormat="1" ht="22.8" customHeight="1" x14ac:dyDescent="0.3">
      <c r="A79" s="686" t="s">
        <v>233</v>
      </c>
      <c r="B79" s="686"/>
      <c r="C79" s="686"/>
      <c r="D79" s="686"/>
      <c r="E79" s="686"/>
      <c r="F79" s="686"/>
      <c r="G79" s="686"/>
      <c r="H79" s="686"/>
      <c r="I79" s="686"/>
      <c r="J79" s="876"/>
    </row>
    <row r="80" spans="1:10" customFormat="1" ht="22.8" customHeight="1" x14ac:dyDescent="0.3">
      <c r="A80" s="673" t="s">
        <v>234</v>
      </c>
      <c r="B80" s="673"/>
      <c r="C80" s="673"/>
      <c r="D80" s="673"/>
      <c r="E80" s="673"/>
      <c r="F80" s="673"/>
      <c r="G80" s="673"/>
      <c r="H80" s="673"/>
      <c r="I80" s="673"/>
      <c r="J80" s="877"/>
    </row>
    <row r="81" spans="1:10" customFormat="1" ht="22.8" customHeight="1" x14ac:dyDescent="0.3">
      <c r="A81" s="673" t="s">
        <v>319</v>
      </c>
      <c r="B81" s="673"/>
      <c r="C81" s="673"/>
      <c r="D81" s="673"/>
      <c r="E81" s="673"/>
      <c r="F81" s="673"/>
      <c r="G81" s="673"/>
      <c r="H81" s="673"/>
      <c r="I81" s="673"/>
      <c r="J81" s="877"/>
    </row>
    <row r="82" spans="1:10" customFormat="1" ht="20.399999999999999" customHeight="1" x14ac:dyDescent="0.3">
      <c r="A82" s="692" t="s">
        <v>235</v>
      </c>
      <c r="B82" s="693"/>
      <c r="C82" s="694"/>
      <c r="D82" s="570" t="s">
        <v>60</v>
      </c>
      <c r="E82" s="570"/>
      <c r="F82" s="570" t="s">
        <v>67</v>
      </c>
      <c r="G82" s="570"/>
      <c r="H82" s="701" t="s">
        <v>61</v>
      </c>
      <c r="I82" s="701"/>
      <c r="J82" s="60" t="s">
        <v>318</v>
      </c>
    </row>
    <row r="83" spans="1:10" customFormat="1" ht="20.25" customHeight="1" x14ac:dyDescent="0.3">
      <c r="A83" s="695"/>
      <c r="B83" s="696"/>
      <c r="C83" s="697"/>
      <c r="D83" s="879"/>
      <c r="E83" s="880"/>
      <c r="F83" s="700"/>
      <c r="G83" s="701"/>
      <c r="H83" s="881"/>
      <c r="I83" s="881"/>
      <c r="J83" s="58"/>
    </row>
    <row r="84" spans="1:10" customFormat="1" ht="27.6" customHeight="1" x14ac:dyDescent="0.3">
      <c r="A84" s="882" t="s">
        <v>287</v>
      </c>
      <c r="B84" s="882"/>
      <c r="C84" s="882"/>
      <c r="D84" s="882"/>
      <c r="E84" s="882"/>
      <c r="F84" s="882"/>
      <c r="G84" s="882"/>
      <c r="H84" s="882"/>
      <c r="I84" s="882"/>
      <c r="J84" s="155"/>
    </row>
    <row r="85" spans="1:10" customFormat="1" ht="27.6" customHeight="1" x14ac:dyDescent="0.3">
      <c r="A85" s="883" t="s">
        <v>289</v>
      </c>
      <c r="B85" s="884"/>
      <c r="C85" s="884"/>
      <c r="D85" s="884"/>
      <c r="E85" s="884"/>
      <c r="F85" s="884"/>
      <c r="G85" s="884"/>
      <c r="H85" s="884"/>
      <c r="I85" s="885"/>
      <c r="J85" s="530"/>
    </row>
    <row r="86" spans="1:10" customFormat="1" ht="27.6" customHeight="1" x14ac:dyDescent="0.3">
      <c r="A86" s="882" t="s">
        <v>58</v>
      </c>
      <c r="B86" s="882"/>
      <c r="C86" s="882"/>
      <c r="D86" s="882"/>
      <c r="E86" s="882"/>
      <c r="F86" s="882"/>
      <c r="G86" s="882"/>
      <c r="H86" s="882"/>
      <c r="I86" s="882"/>
      <c r="J86" s="155"/>
    </row>
    <row r="87" spans="1:10" customFormat="1" ht="14.4" x14ac:dyDescent="0.3">
      <c r="A87" s="62"/>
      <c r="B87" s="70" t="s">
        <v>64</v>
      </c>
      <c r="C87" s="70" t="s">
        <v>290</v>
      </c>
      <c r="D87" s="687" t="s">
        <v>292</v>
      </c>
      <c r="E87" s="688"/>
      <c r="F87" s="687" t="s">
        <v>293</v>
      </c>
      <c r="G87" s="688"/>
      <c r="H87" s="365"/>
      <c r="I87" s="365"/>
      <c r="J87" s="179"/>
    </row>
    <row r="88" spans="1:10" customFormat="1" ht="21" customHeight="1" x14ac:dyDescent="0.3">
      <c r="A88" s="367" t="s">
        <v>291</v>
      </c>
      <c r="B88" s="66">
        <f>H83</f>
        <v>0</v>
      </c>
      <c r="C88" s="66"/>
      <c r="D88" s="70" t="s">
        <v>108</v>
      </c>
      <c r="E88" s="66"/>
      <c r="F88" s="70" t="s">
        <v>313</v>
      </c>
      <c r="G88" s="66"/>
      <c r="H88" s="70"/>
      <c r="I88" s="365"/>
      <c r="J88" s="179"/>
    </row>
    <row r="89" spans="1:10" customFormat="1" ht="21" customHeight="1" x14ac:dyDescent="0.3">
      <c r="A89" s="368" t="s">
        <v>295</v>
      </c>
      <c r="B89" s="370">
        <f>C68</f>
        <v>0</v>
      </c>
      <c r="C89" s="370"/>
      <c r="D89" s="70" t="s">
        <v>101</v>
      </c>
      <c r="E89" s="66"/>
      <c r="F89" s="70" t="s">
        <v>248</v>
      </c>
      <c r="G89" s="66"/>
      <c r="H89" s="365"/>
      <c r="I89" s="365"/>
      <c r="J89" s="179"/>
    </row>
    <row r="90" spans="1:10" customFormat="1" ht="17.25" customHeight="1" x14ac:dyDescent="0.3">
      <c r="A90" s="369" t="s">
        <v>186</v>
      </c>
      <c r="B90" s="370">
        <f>J32</f>
        <v>3102.57</v>
      </c>
      <c r="C90" s="370"/>
      <c r="D90" s="70" t="s">
        <v>247</v>
      </c>
      <c r="E90" s="66"/>
      <c r="F90" s="70" t="s">
        <v>247</v>
      </c>
      <c r="G90" s="66"/>
      <c r="H90" s="365"/>
      <c r="I90" s="365"/>
      <c r="J90" s="179"/>
    </row>
    <row r="91" spans="1:10" customFormat="1" ht="17.25" customHeight="1" x14ac:dyDescent="0.3">
      <c r="A91" s="369" t="s">
        <v>62</v>
      </c>
      <c r="B91" s="370">
        <f>+J79</f>
        <v>0</v>
      </c>
      <c r="C91" s="370"/>
      <c r="D91" s="365"/>
      <c r="E91" s="365"/>
      <c r="F91" s="365"/>
      <c r="G91" s="365"/>
      <c r="H91" s="365"/>
      <c r="I91" s="365"/>
      <c r="J91" s="179"/>
    </row>
    <row r="92" spans="1:10" customFormat="1" ht="15" customHeight="1" x14ac:dyDescent="0.3">
      <c r="A92" s="560" t="s">
        <v>59</v>
      </c>
      <c r="B92" s="560"/>
      <c r="C92" s="560"/>
      <c r="D92" s="560"/>
      <c r="E92" s="560"/>
      <c r="F92" s="23"/>
      <c r="G92" s="23"/>
      <c r="H92" s="23"/>
      <c r="I92" s="23"/>
      <c r="J92" s="23"/>
    </row>
    <row r="93" spans="1:10" s="23" customFormat="1" ht="12" customHeight="1" x14ac:dyDescent="0.2">
      <c r="A93" s="43" t="s">
        <v>63</v>
      </c>
    </row>
    <row r="94" spans="1:10" s="23" customFormat="1" ht="12" customHeight="1" x14ac:dyDescent="0.2">
      <c r="A94" s="23" t="s">
        <v>320</v>
      </c>
    </row>
    <row r="95" spans="1:10" s="23" customFormat="1" ht="12" hidden="1" customHeight="1" x14ac:dyDescent="0.2">
      <c r="A95" s="43"/>
    </row>
    <row r="96" spans="1:10" s="23" customFormat="1" ht="12" hidden="1" customHeight="1" x14ac:dyDescent="0.25">
      <c r="A96" s="246" t="s">
        <v>97</v>
      </c>
      <c r="B96" s="247"/>
      <c r="C96" s="248">
        <v>7.4999999999999997E-3</v>
      </c>
      <c r="D96" s="240">
        <f>ROUND(J32*C96,2)</f>
        <v>23.27</v>
      </c>
      <c r="E96" s="227"/>
      <c r="F96" s="249"/>
      <c r="G96" s="226"/>
      <c r="H96" s="24"/>
      <c r="I96" s="24"/>
    </row>
    <row r="97" spans="1:6" ht="30.75" hidden="1" customHeight="1" x14ac:dyDescent="0.25">
      <c r="A97" s="246" t="s">
        <v>98</v>
      </c>
      <c r="B97" s="247"/>
      <c r="C97" s="250">
        <f>(2.4-0.95)%</f>
        <v>1.4499999999999999E-2</v>
      </c>
      <c r="D97" s="240">
        <f>ROUND(C58*C97,2)</f>
        <v>0</v>
      </c>
      <c r="F97" s="245"/>
    </row>
    <row r="98" spans="1:6" ht="30.75" hidden="1" customHeight="1" x14ac:dyDescent="0.25">
      <c r="A98" s="251" t="s">
        <v>252</v>
      </c>
      <c r="B98" s="247"/>
      <c r="D98" s="227">
        <f>D96+D97</f>
        <v>23.27</v>
      </c>
      <c r="F98" s="245"/>
    </row>
    <row r="99" spans="1:6" ht="30.75" hidden="1" customHeight="1" x14ac:dyDescent="0.25">
      <c r="A99" s="246" t="s">
        <v>253</v>
      </c>
      <c r="C99" s="227"/>
      <c r="F99" s="252"/>
    </row>
    <row r="100" spans="1:6" ht="30.75" hidden="1" customHeight="1" x14ac:dyDescent="0.25">
      <c r="A100" s="246"/>
      <c r="C100" s="227"/>
      <c r="F100" s="252"/>
    </row>
    <row r="101" spans="1:6" ht="30.75" hidden="1" customHeight="1" x14ac:dyDescent="0.25">
      <c r="A101" s="246" t="s">
        <v>99</v>
      </c>
      <c r="B101" s="253"/>
      <c r="C101" s="240">
        <v>1.7000000000000001E-2</v>
      </c>
      <c r="D101" s="240">
        <f>ROUND(C62*C101,2)</f>
        <v>0</v>
      </c>
      <c r="F101" s="252"/>
    </row>
    <row r="102" spans="1:6" ht="30.75" hidden="1" customHeight="1" x14ac:dyDescent="0.25">
      <c r="A102" s="254"/>
      <c r="B102" s="255"/>
      <c r="C102" s="256"/>
      <c r="D102" s="256"/>
      <c r="E102" s="256"/>
      <c r="F102" s="257"/>
    </row>
    <row r="103" spans="1:6" ht="30.75" hidden="1" customHeight="1" x14ac:dyDescent="0.25">
      <c r="A103" s="258" t="s">
        <v>254</v>
      </c>
      <c r="B103" s="259"/>
      <c r="C103" s="260"/>
      <c r="D103" s="260"/>
      <c r="E103" s="260"/>
      <c r="F103" s="261"/>
    </row>
    <row r="104" spans="1:6" ht="30.75" hidden="1" customHeight="1" x14ac:dyDescent="0.25">
      <c r="A104" s="243"/>
      <c r="B104" s="244"/>
      <c r="C104" s="262"/>
      <c r="F104" s="263"/>
    </row>
    <row r="105" spans="1:6" ht="30.75" hidden="1" customHeight="1" x14ac:dyDescent="0.25">
      <c r="A105" s="246" t="s">
        <v>97</v>
      </c>
      <c r="B105" s="247"/>
      <c r="C105" s="248">
        <v>7.4999999999999997E-3</v>
      </c>
      <c r="D105" s="240">
        <f>ROUND(J32*C105,2)</f>
        <v>23.27</v>
      </c>
      <c r="E105" s="226"/>
      <c r="F105" s="245"/>
    </row>
    <row r="106" spans="1:6" ht="30.75" hidden="1" customHeight="1" x14ac:dyDescent="0.25">
      <c r="A106" s="246" t="s">
        <v>98</v>
      </c>
      <c r="B106" s="247"/>
      <c r="C106" s="250">
        <f>(2.4)%</f>
        <v>2.4E-2</v>
      </c>
      <c r="D106" s="240">
        <f>ROUND(C58*C106,2)</f>
        <v>0</v>
      </c>
      <c r="E106" s="264"/>
      <c r="F106" s="245"/>
    </row>
    <row r="107" spans="1:6" ht="30.75" hidden="1" customHeight="1" x14ac:dyDescent="0.25">
      <c r="A107" s="251" t="s">
        <v>255</v>
      </c>
      <c r="B107" s="247"/>
      <c r="E107" s="264"/>
      <c r="F107" s="245"/>
    </row>
    <row r="108" spans="1:6" ht="30.75" hidden="1" customHeight="1" x14ac:dyDescent="0.25">
      <c r="A108" s="246" t="s">
        <v>253</v>
      </c>
      <c r="C108" s="227"/>
      <c r="E108" s="265">
        <f>D106+D105-D110</f>
        <v>23.27</v>
      </c>
      <c r="F108" s="245"/>
    </row>
    <row r="109" spans="1:6" ht="30.75" hidden="1" customHeight="1" x14ac:dyDescent="0.25">
      <c r="A109" s="246"/>
      <c r="C109" s="227"/>
      <c r="E109" s="264"/>
      <c r="F109" s="245"/>
    </row>
    <row r="110" spans="1:6" ht="30.75" hidden="1" customHeight="1" x14ac:dyDescent="0.25">
      <c r="A110" s="246" t="s">
        <v>99</v>
      </c>
      <c r="B110" s="253"/>
      <c r="C110" s="240">
        <v>1.7000000000000001E-2</v>
      </c>
      <c r="D110" s="240">
        <f>ROUND(C62*C110,2)</f>
        <v>0</v>
      </c>
      <c r="F110" s="245"/>
    </row>
    <row r="111" spans="1:6" ht="30.75" hidden="1" customHeight="1" x14ac:dyDescent="0.25">
      <c r="A111" s="266"/>
      <c r="B111" s="267"/>
      <c r="C111" s="268"/>
      <c r="D111" s="268"/>
      <c r="E111" s="268"/>
      <c r="F111" s="269"/>
    </row>
    <row r="112" spans="1:6" ht="30.75" hidden="1" customHeight="1" x14ac:dyDescent="0.25">
      <c r="B112" s="247"/>
    </row>
    <row r="113" spans="1:15" ht="30.75" customHeight="1" x14ac:dyDescent="0.25">
      <c r="A113" s="878" t="s">
        <v>91</v>
      </c>
      <c r="B113" s="878"/>
      <c r="C113" s="878"/>
      <c r="D113" s="878"/>
      <c r="E113" s="878"/>
    </row>
    <row r="114" spans="1:15" ht="18" customHeight="1" x14ac:dyDescent="0.3">
      <c r="A114" s="37" t="s">
        <v>264</v>
      </c>
      <c r="B114" s="307" t="s">
        <v>265</v>
      </c>
      <c r="C114" s="307" t="s">
        <v>227</v>
      </c>
      <c r="D114" s="307" t="s">
        <v>266</v>
      </c>
      <c r="E114" s="307" t="s">
        <v>267</v>
      </c>
      <c r="F114" s="185"/>
      <c r="G114" s="25"/>
      <c r="H114" s="25"/>
      <c r="I114" s="25"/>
    </row>
    <row r="115" spans="1:15" customFormat="1" ht="15.6" x14ac:dyDescent="0.3">
      <c r="A115" s="187"/>
      <c r="B115" s="58"/>
      <c r="C115" s="195" t="s">
        <v>32</v>
      </c>
      <c r="D115" s="195" t="s">
        <v>294</v>
      </c>
      <c r="E115" s="195" t="s">
        <v>102</v>
      </c>
      <c r="H115" s="25"/>
      <c r="I115" s="25"/>
      <c r="J115" s="25"/>
      <c r="K115" s="27"/>
      <c r="L115" s="27"/>
      <c r="M115" s="27"/>
      <c r="N115" s="27"/>
      <c r="O115" s="27"/>
    </row>
    <row r="116" spans="1:15" customFormat="1" ht="2.4" hidden="1" customHeight="1" x14ac:dyDescent="0.3">
      <c r="A116" s="229"/>
      <c r="B116" s="229"/>
      <c r="C116" s="226"/>
      <c r="D116" s="227"/>
      <c r="E116" s="44">
        <f t="shared" ref="E116" si="2">ROUND(C116*D116,2)</f>
        <v>0</v>
      </c>
      <c r="H116" s="25"/>
      <c r="I116" s="25"/>
      <c r="J116" s="25"/>
      <c r="K116" s="27"/>
      <c r="L116" s="27"/>
      <c r="M116" s="27"/>
      <c r="N116" s="27"/>
      <c r="O116" s="27"/>
    </row>
    <row r="117" spans="1:15" customFormat="1" ht="19.95" customHeight="1" x14ac:dyDescent="0.3">
      <c r="A117" s="557" t="s">
        <v>94</v>
      </c>
      <c r="B117" s="558"/>
      <c r="C117" s="44"/>
      <c r="D117" s="51"/>
      <c r="E117" s="44"/>
      <c r="H117" s="25"/>
      <c r="I117" s="25"/>
      <c r="J117" s="25"/>
      <c r="K117" s="27"/>
      <c r="L117" s="27"/>
      <c r="M117" s="27"/>
      <c r="N117" s="27"/>
      <c r="O117" s="27"/>
    </row>
    <row r="118" spans="1:15" customFormat="1" ht="19.95" customHeight="1" x14ac:dyDescent="0.3">
      <c r="A118" s="557" t="s">
        <v>95</v>
      </c>
      <c r="B118" s="558"/>
      <c r="C118" s="44"/>
      <c r="D118" s="51"/>
      <c r="E118" s="44"/>
      <c r="G118" s="226"/>
      <c r="H118" s="25"/>
      <c r="I118" s="25"/>
      <c r="J118" s="25"/>
      <c r="K118" s="27"/>
      <c r="L118" s="27"/>
      <c r="M118" s="27"/>
      <c r="N118" s="27"/>
      <c r="O118" s="27"/>
    </row>
    <row r="119" spans="1:15" customFormat="1" ht="19.95" customHeight="1" x14ac:dyDescent="0.3">
      <c r="A119" s="557" t="s">
        <v>284</v>
      </c>
      <c r="B119" s="558"/>
      <c r="C119" s="44"/>
      <c r="D119" s="51"/>
      <c r="E119" s="44"/>
      <c r="F119" s="226"/>
      <c r="H119" s="25"/>
      <c r="I119" s="25"/>
      <c r="J119" s="25"/>
      <c r="K119" s="27"/>
      <c r="L119" s="27"/>
      <c r="M119" s="27"/>
      <c r="N119" s="27"/>
      <c r="O119" s="27"/>
    </row>
    <row r="120" spans="1:15" customFormat="1" ht="19.95" customHeight="1" x14ac:dyDescent="0.3">
      <c r="A120" s="552" t="s">
        <v>73</v>
      </c>
      <c r="B120" s="553"/>
      <c r="C120" s="44"/>
      <c r="D120" s="51"/>
      <c r="E120" s="44"/>
      <c r="H120" s="25"/>
      <c r="I120" s="25"/>
      <c r="J120" s="25"/>
      <c r="K120" s="27"/>
      <c r="L120" s="27"/>
      <c r="M120" s="27"/>
      <c r="N120" s="27"/>
      <c r="O120" s="27"/>
    </row>
    <row r="121" spans="1:15" customFormat="1" ht="19.95" customHeight="1" x14ac:dyDescent="0.3">
      <c r="A121" s="557" t="s">
        <v>92</v>
      </c>
      <c r="B121" s="558"/>
      <c r="C121" s="44"/>
      <c r="D121" s="51"/>
      <c r="E121" s="44"/>
      <c r="H121" s="27"/>
      <c r="I121" s="27"/>
      <c r="J121" s="25"/>
      <c r="K121" s="27"/>
      <c r="L121" s="27"/>
      <c r="M121" s="27"/>
      <c r="N121" s="27"/>
      <c r="O121" s="27"/>
    </row>
    <row r="122" spans="1:15" customFormat="1" ht="19.95" customHeight="1" x14ac:dyDescent="0.3">
      <c r="A122" s="553" t="s">
        <v>228</v>
      </c>
      <c r="B122" s="559"/>
      <c r="C122" s="44"/>
      <c r="D122" s="51"/>
      <c r="E122" s="44"/>
      <c r="H122" s="27"/>
      <c r="I122" s="27"/>
      <c r="J122" s="27"/>
      <c r="K122" s="27"/>
      <c r="L122" s="27"/>
      <c r="M122" s="27"/>
      <c r="N122" s="27"/>
      <c r="O122" s="27"/>
    </row>
    <row r="123" spans="1:15" customFormat="1" ht="19.95" customHeight="1" x14ac:dyDescent="0.3">
      <c r="A123" s="552" t="s">
        <v>74</v>
      </c>
      <c r="B123" s="553"/>
      <c r="C123" s="44"/>
      <c r="D123" s="51"/>
      <c r="E123" s="44"/>
      <c r="H123" s="27"/>
      <c r="I123" s="27"/>
      <c r="J123" s="27"/>
      <c r="K123" s="27"/>
      <c r="L123" s="27"/>
      <c r="M123" s="27"/>
      <c r="N123" s="27"/>
      <c r="O123" s="27"/>
    </row>
    <row r="124" spans="1:15" customFormat="1" ht="19.95" customHeight="1" x14ac:dyDescent="0.3">
      <c r="A124" s="552" t="s">
        <v>79</v>
      </c>
      <c r="B124" s="553"/>
      <c r="C124" s="44"/>
      <c r="D124" s="51"/>
      <c r="E124" s="44"/>
      <c r="H124" s="27"/>
      <c r="I124" s="27"/>
      <c r="J124" s="27"/>
      <c r="K124" s="27"/>
      <c r="L124" s="27"/>
      <c r="M124" s="27"/>
      <c r="N124" s="27"/>
      <c r="O124" s="27"/>
    </row>
    <row r="125" spans="1:15" customFormat="1" ht="19.95" customHeight="1" x14ac:dyDescent="0.3">
      <c r="A125" s="552" t="s">
        <v>80</v>
      </c>
      <c r="B125" s="553"/>
      <c r="C125" s="44"/>
      <c r="D125" s="51"/>
      <c r="E125" s="44"/>
      <c r="H125" s="27"/>
      <c r="I125" s="27"/>
      <c r="J125" s="27"/>
      <c r="K125" s="27"/>
      <c r="L125" s="27"/>
      <c r="M125" s="27"/>
      <c r="N125" s="27"/>
      <c r="O125" s="27"/>
    </row>
    <row r="126" spans="1:15" customFormat="1" ht="19.95" customHeight="1" x14ac:dyDescent="0.3">
      <c r="A126" s="552" t="s">
        <v>80</v>
      </c>
      <c r="B126" s="553"/>
      <c r="C126" s="44"/>
      <c r="D126" s="51"/>
      <c r="E126" s="44"/>
      <c r="H126" s="27"/>
      <c r="I126" s="27"/>
      <c r="J126" s="27"/>
      <c r="K126" s="27"/>
      <c r="L126" s="27"/>
      <c r="M126" s="27"/>
      <c r="N126" s="27"/>
      <c r="O126" s="27"/>
    </row>
    <row r="127" spans="1:15" customFormat="1" ht="19.95" customHeight="1" x14ac:dyDescent="0.3">
      <c r="A127" s="552" t="s">
        <v>85</v>
      </c>
      <c r="B127" s="553"/>
      <c r="C127" s="44"/>
      <c r="D127" s="51"/>
      <c r="E127" s="44"/>
      <c r="H127" s="27"/>
      <c r="I127" s="27"/>
      <c r="J127" s="27"/>
      <c r="K127" s="27"/>
      <c r="L127" s="27"/>
      <c r="M127" s="27"/>
      <c r="N127" s="27"/>
      <c r="O127" s="27"/>
    </row>
    <row r="128" spans="1:15" customFormat="1" ht="15.6" x14ac:dyDescent="0.3">
      <c r="A128" s="27"/>
      <c r="B128" s="27"/>
      <c r="D128" s="27"/>
      <c r="E128" s="44">
        <f>SUM(E117:E127)</f>
        <v>0</v>
      </c>
      <c r="G128" s="27"/>
      <c r="H128" s="27"/>
      <c r="I128" s="27"/>
      <c r="J128" s="27"/>
      <c r="K128" s="27"/>
      <c r="L128" s="27"/>
      <c r="M128" s="27"/>
      <c r="N128" s="27"/>
      <c r="O128" s="27"/>
    </row>
    <row r="129" spans="1:15" customFormat="1" ht="15.6" x14ac:dyDescent="0.3">
      <c r="A129" s="229"/>
      <c r="B129" s="229"/>
      <c r="C129" s="226"/>
      <c r="D129" s="227"/>
      <c r="E129" s="227"/>
      <c r="F129" s="226"/>
      <c r="G129" s="226"/>
      <c r="H129" s="24"/>
      <c r="I129" s="24"/>
      <c r="J129" s="27"/>
      <c r="K129" s="27"/>
      <c r="L129" s="27"/>
      <c r="M129" s="27"/>
      <c r="N129" s="27"/>
      <c r="O129" s="27"/>
    </row>
  </sheetData>
  <mergeCells count="245">
    <mergeCell ref="A127:B127"/>
    <mergeCell ref="A121:B121"/>
    <mergeCell ref="A122:B122"/>
    <mergeCell ref="A123:B123"/>
    <mergeCell ref="A124:B124"/>
    <mergeCell ref="A125:B125"/>
    <mergeCell ref="A126:B126"/>
    <mergeCell ref="A92:E92"/>
    <mergeCell ref="A113:E113"/>
    <mergeCell ref="A117:B117"/>
    <mergeCell ref="A118:B118"/>
    <mergeCell ref="A119:B119"/>
    <mergeCell ref="A120:B120"/>
    <mergeCell ref="H83:I83"/>
    <mergeCell ref="A84:I84"/>
    <mergeCell ref="A85:I85"/>
    <mergeCell ref="A86:I86"/>
    <mergeCell ref="D87:E87"/>
    <mergeCell ref="F87:G87"/>
    <mergeCell ref="A78:I78"/>
    <mergeCell ref="A79:I79"/>
    <mergeCell ref="A80:I80"/>
    <mergeCell ref="A81:I81"/>
    <mergeCell ref="A82:C83"/>
    <mergeCell ref="D82:E82"/>
    <mergeCell ref="F82:G82"/>
    <mergeCell ref="H82:I82"/>
    <mergeCell ref="D83:E83"/>
    <mergeCell ref="F83:G83"/>
    <mergeCell ref="A76:B76"/>
    <mergeCell ref="C76:D76"/>
    <mergeCell ref="G76:H76"/>
    <mergeCell ref="I76:J76"/>
    <mergeCell ref="A77:B77"/>
    <mergeCell ref="C77:D77"/>
    <mergeCell ref="G77:H77"/>
    <mergeCell ref="I77:J77"/>
    <mergeCell ref="A74:B74"/>
    <mergeCell ref="G74:H74"/>
    <mergeCell ref="I74:J74"/>
    <mergeCell ref="A75:B75"/>
    <mergeCell ref="C75:D75"/>
    <mergeCell ref="G75:H75"/>
    <mergeCell ref="I75:J75"/>
    <mergeCell ref="A72:B72"/>
    <mergeCell ref="C72:D72"/>
    <mergeCell ref="G72:H72"/>
    <mergeCell ref="I72:J72"/>
    <mergeCell ref="A73:B73"/>
    <mergeCell ref="C73:D73"/>
    <mergeCell ref="G73:H73"/>
    <mergeCell ref="I73:J73"/>
    <mergeCell ref="A70:B70"/>
    <mergeCell ref="C70:D70"/>
    <mergeCell ref="G70:H70"/>
    <mergeCell ref="I70:J70"/>
    <mergeCell ref="A71:B71"/>
    <mergeCell ref="C71:D71"/>
    <mergeCell ref="G71:H71"/>
    <mergeCell ref="I71:J71"/>
    <mergeCell ref="A68:B68"/>
    <mergeCell ref="C68:D68"/>
    <mergeCell ref="G68:H68"/>
    <mergeCell ref="I68:J68"/>
    <mergeCell ref="A69:B69"/>
    <mergeCell ref="C69:D69"/>
    <mergeCell ref="G69:H69"/>
    <mergeCell ref="I69:J69"/>
    <mergeCell ref="A66:B66"/>
    <mergeCell ref="C66:D66"/>
    <mergeCell ref="G66:H66"/>
    <mergeCell ref="I66:J66"/>
    <mergeCell ref="A67:B67"/>
    <mergeCell ref="C67:D67"/>
    <mergeCell ref="G67:H67"/>
    <mergeCell ref="I67:J67"/>
    <mergeCell ref="A64:B64"/>
    <mergeCell ref="C64:D64"/>
    <mergeCell ref="G64:H64"/>
    <mergeCell ref="I64:J64"/>
    <mergeCell ref="A65:B65"/>
    <mergeCell ref="C65:D65"/>
    <mergeCell ref="G65:H65"/>
    <mergeCell ref="I65:J65"/>
    <mergeCell ref="A62:B62"/>
    <mergeCell ref="C62:D62"/>
    <mergeCell ref="G62:H62"/>
    <mergeCell ref="I62:J62"/>
    <mergeCell ref="A63:B63"/>
    <mergeCell ref="C63:D63"/>
    <mergeCell ref="G63:H63"/>
    <mergeCell ref="I63:J63"/>
    <mergeCell ref="A60:B60"/>
    <mergeCell ref="C60:D60"/>
    <mergeCell ref="G60:H60"/>
    <mergeCell ref="I60:J60"/>
    <mergeCell ref="A61:B61"/>
    <mergeCell ref="C61:D61"/>
    <mergeCell ref="G61:H61"/>
    <mergeCell ref="I61:J61"/>
    <mergeCell ref="A58:B58"/>
    <mergeCell ref="C58:D58"/>
    <mergeCell ref="G58:H58"/>
    <mergeCell ref="I58:J58"/>
    <mergeCell ref="A59:B59"/>
    <mergeCell ref="C59:D59"/>
    <mergeCell ref="G59:H59"/>
    <mergeCell ref="I59:J59"/>
    <mergeCell ref="A56:B56"/>
    <mergeCell ref="C56:D56"/>
    <mergeCell ref="G56:H56"/>
    <mergeCell ref="I56:J56"/>
    <mergeCell ref="A57:B57"/>
    <mergeCell ref="C57:D57"/>
    <mergeCell ref="G57:H57"/>
    <mergeCell ref="I57:J57"/>
    <mergeCell ref="A54:B54"/>
    <mergeCell ref="C54:D54"/>
    <mergeCell ref="G54:H54"/>
    <mergeCell ref="I54:J54"/>
    <mergeCell ref="A55:B55"/>
    <mergeCell ref="C55:D55"/>
    <mergeCell ref="G55:H55"/>
    <mergeCell ref="I55:J55"/>
    <mergeCell ref="A52:B52"/>
    <mergeCell ref="C52:D52"/>
    <mergeCell ref="G52:H52"/>
    <mergeCell ref="I52:J52"/>
    <mergeCell ref="A53:B53"/>
    <mergeCell ref="C53:D53"/>
    <mergeCell ref="G53:H53"/>
    <mergeCell ref="I53:J53"/>
    <mergeCell ref="A50:B50"/>
    <mergeCell ref="C50:D50"/>
    <mergeCell ref="G50:H50"/>
    <mergeCell ref="I50:J50"/>
    <mergeCell ref="A51:B51"/>
    <mergeCell ref="C51:D51"/>
    <mergeCell ref="G51:H51"/>
    <mergeCell ref="I51:J51"/>
    <mergeCell ref="A48:B48"/>
    <mergeCell ref="C48:D48"/>
    <mergeCell ref="G48:H48"/>
    <mergeCell ref="I48:J48"/>
    <mergeCell ref="K48:L48"/>
    <mergeCell ref="A49:B49"/>
    <mergeCell ref="C49:D49"/>
    <mergeCell ref="G49:H49"/>
    <mergeCell ref="I49:J49"/>
    <mergeCell ref="A46:B46"/>
    <mergeCell ref="C46:D46"/>
    <mergeCell ref="G46:H46"/>
    <mergeCell ref="I46:J46"/>
    <mergeCell ref="A47:B47"/>
    <mergeCell ref="C47:D47"/>
    <mergeCell ref="G47:H47"/>
    <mergeCell ref="I47:J47"/>
    <mergeCell ref="A44:B44"/>
    <mergeCell ref="C44:D44"/>
    <mergeCell ref="G44:H44"/>
    <mergeCell ref="I44:J44"/>
    <mergeCell ref="A45:B45"/>
    <mergeCell ref="C45:D45"/>
    <mergeCell ref="G45:H45"/>
    <mergeCell ref="I45:J45"/>
    <mergeCell ref="A42:B42"/>
    <mergeCell ref="C42:D42"/>
    <mergeCell ref="G42:H42"/>
    <mergeCell ref="I42:J42"/>
    <mergeCell ref="A43:B43"/>
    <mergeCell ref="C43:D43"/>
    <mergeCell ref="G43:H43"/>
    <mergeCell ref="I43:J43"/>
    <mergeCell ref="A40:B40"/>
    <mergeCell ref="C40:D40"/>
    <mergeCell ref="G40:H40"/>
    <mergeCell ref="I40:J40"/>
    <mergeCell ref="A41:B41"/>
    <mergeCell ref="C41:D41"/>
    <mergeCell ref="G41:H41"/>
    <mergeCell ref="I41:J41"/>
    <mergeCell ref="A38:B38"/>
    <mergeCell ref="C38:D38"/>
    <mergeCell ref="G38:H38"/>
    <mergeCell ref="I38:J38"/>
    <mergeCell ref="A39:B39"/>
    <mergeCell ref="C39:D39"/>
    <mergeCell ref="G39:H39"/>
    <mergeCell ref="I39:J39"/>
    <mergeCell ref="A36:B36"/>
    <mergeCell ref="C36:D36"/>
    <mergeCell ref="G36:H36"/>
    <mergeCell ref="I36:J36"/>
    <mergeCell ref="A37:B37"/>
    <mergeCell ref="C37:D37"/>
    <mergeCell ref="G37:H37"/>
    <mergeCell ref="I37:J37"/>
    <mergeCell ref="A34:B34"/>
    <mergeCell ref="C34:D34"/>
    <mergeCell ref="G34:H34"/>
    <mergeCell ref="I34:J34"/>
    <mergeCell ref="A35:B35"/>
    <mergeCell ref="C35:J35"/>
    <mergeCell ref="A29:F29"/>
    <mergeCell ref="A30:F30"/>
    <mergeCell ref="A31:F31"/>
    <mergeCell ref="A32:B32"/>
    <mergeCell ref="D32:I32"/>
    <mergeCell ref="A33:J33"/>
    <mergeCell ref="A23:F23"/>
    <mergeCell ref="A24:F24"/>
    <mergeCell ref="A25:F25"/>
    <mergeCell ref="A26:F26"/>
    <mergeCell ref="A27:F27"/>
    <mergeCell ref="A28:F28"/>
    <mergeCell ref="A17:F17"/>
    <mergeCell ref="A18:F18"/>
    <mergeCell ref="A19:F19"/>
    <mergeCell ref="A20:F20"/>
    <mergeCell ref="A21:F21"/>
    <mergeCell ref="A22:F22"/>
    <mergeCell ref="A11:J11"/>
    <mergeCell ref="A12:F12"/>
    <mergeCell ref="A13:F13"/>
    <mergeCell ref="A14:F14"/>
    <mergeCell ref="A15:F15"/>
    <mergeCell ref="A16:F16"/>
    <mergeCell ref="B7:D7"/>
    <mergeCell ref="G7:J7"/>
    <mergeCell ref="C8:D8"/>
    <mergeCell ref="F8:G8"/>
    <mergeCell ref="F9:G9"/>
    <mergeCell ref="B10:D10"/>
    <mergeCell ref="B4:D4"/>
    <mergeCell ref="G4:J4"/>
    <mergeCell ref="B5:D5"/>
    <mergeCell ref="G5:J5"/>
    <mergeCell ref="B6:D6"/>
    <mergeCell ref="G6:J6"/>
    <mergeCell ref="A1:D1"/>
    <mergeCell ref="F1:J1"/>
    <mergeCell ref="B2:D2"/>
    <mergeCell ref="G2:J2"/>
    <mergeCell ref="B3:D3"/>
    <mergeCell ref="G3:J3"/>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8" xr:uid="{B477A04C-7B4E-4C1D-ACE6-81E6A4C63204}">
      <formula1>#REF!</formula1>
      <formula2>0</formula2>
    </dataValidation>
    <dataValidation operator="equal" allowBlank="1" showErrorMessage="1" errorTitle="Smic minimum" error="attention tatal brut au minimum égal au smic pour 151,67 h" sqref="J32" xr:uid="{21E64B76-4A80-4525-9867-4115C4C39633}">
      <formula1>0</formula1>
      <formula2>0</formula2>
    </dataValidation>
  </dataValidation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0D9DED-71C9-43CF-BBBA-E95E6B0F5CB5}">
  <dimension ref="B2:N100"/>
  <sheetViews>
    <sheetView topLeftCell="A79" zoomScale="96" workbookViewId="0">
      <selection activeCell="B87" sqref="B87"/>
    </sheetView>
  </sheetViews>
  <sheetFormatPr baseColWidth="10" defaultRowHeight="15.6" x14ac:dyDescent="0.3"/>
  <cols>
    <col min="1" max="1" width="1.6640625" style="187" customWidth="1"/>
    <col min="2" max="3" width="11.5546875" style="187"/>
    <col min="4" max="4" width="12.5546875" style="187" customWidth="1"/>
    <col min="5" max="11" width="11.5546875" style="187"/>
    <col min="12" max="12" width="15.33203125" style="187" customWidth="1"/>
    <col min="13" max="16384" width="11.5546875" style="187"/>
  </cols>
  <sheetData>
    <row r="2" spans="2:14" x14ac:dyDescent="0.3">
      <c r="B2" s="58" t="s">
        <v>546</v>
      </c>
    </row>
    <row r="4" spans="2:14" x14ac:dyDescent="0.3">
      <c r="C4" s="187" t="s">
        <v>579</v>
      </c>
      <c r="E4" s="187" t="s">
        <v>547</v>
      </c>
    </row>
    <row r="5" spans="2:14" x14ac:dyDescent="0.3">
      <c r="C5" s="187" t="s">
        <v>492</v>
      </c>
    </row>
    <row r="6" spans="2:14" x14ac:dyDescent="0.3">
      <c r="C6" s="187" t="s">
        <v>493</v>
      </c>
    </row>
    <row r="8" spans="2:14" x14ac:dyDescent="0.3">
      <c r="B8" s="187" t="s">
        <v>494</v>
      </c>
      <c r="M8" s="189" t="s">
        <v>498</v>
      </c>
      <c r="N8" s="187" t="s">
        <v>432</v>
      </c>
    </row>
    <row r="10" spans="2:14" x14ac:dyDescent="0.3">
      <c r="C10" s="187" t="s">
        <v>495</v>
      </c>
    </row>
    <row r="11" spans="2:14" x14ac:dyDescent="0.3">
      <c r="C11" s="187" t="s">
        <v>496</v>
      </c>
    </row>
    <row r="13" spans="2:14" x14ac:dyDescent="0.3">
      <c r="B13" s="187" t="s">
        <v>497</v>
      </c>
      <c r="F13" s="187" t="s">
        <v>500</v>
      </c>
      <c r="G13" s="187" t="s">
        <v>501</v>
      </c>
      <c r="J13" s="187" t="s">
        <v>584</v>
      </c>
      <c r="L13" s="187" t="s">
        <v>585</v>
      </c>
    </row>
    <row r="15" spans="2:14" x14ac:dyDescent="0.3">
      <c r="B15" s="187" t="s">
        <v>502</v>
      </c>
    </row>
    <row r="17" spans="3:10" x14ac:dyDescent="0.3">
      <c r="C17" s="187" t="s">
        <v>580</v>
      </c>
    </row>
    <row r="19" spans="3:10" x14ac:dyDescent="0.3">
      <c r="C19" s="524" t="s">
        <v>503</v>
      </c>
    </row>
    <row r="21" spans="3:10" x14ac:dyDescent="0.3">
      <c r="C21" s="187" t="s">
        <v>504</v>
      </c>
    </row>
    <row r="23" spans="3:10" x14ac:dyDescent="0.3">
      <c r="D23" s="187" t="s">
        <v>513</v>
      </c>
      <c r="E23" s="525" t="s">
        <v>505</v>
      </c>
      <c r="F23" s="525"/>
      <c r="G23" s="525"/>
      <c r="H23" s="525"/>
      <c r="I23" s="525"/>
    </row>
    <row r="25" spans="3:10" x14ac:dyDescent="0.3">
      <c r="F25" s="502" t="s">
        <v>506</v>
      </c>
    </row>
    <row r="26" spans="3:10" x14ac:dyDescent="0.3">
      <c r="F26" s="502"/>
    </row>
    <row r="27" spans="3:10" x14ac:dyDescent="0.3">
      <c r="F27" s="502"/>
      <c r="G27" s="58" t="s">
        <v>507</v>
      </c>
    </row>
    <row r="28" spans="3:10" x14ac:dyDescent="0.3">
      <c r="F28" s="502"/>
    </row>
    <row r="29" spans="3:10" x14ac:dyDescent="0.3">
      <c r="F29" s="502" t="s">
        <v>508</v>
      </c>
    </row>
    <row r="31" spans="3:10" x14ac:dyDescent="0.3">
      <c r="H31" s="187" t="s">
        <v>509</v>
      </c>
      <c r="I31" s="187" t="s">
        <v>510</v>
      </c>
      <c r="J31" s="187" t="s">
        <v>511</v>
      </c>
    </row>
    <row r="33" spans="3:8" x14ac:dyDescent="0.3">
      <c r="E33" s="187" t="s">
        <v>512</v>
      </c>
    </row>
    <row r="35" spans="3:8" x14ac:dyDescent="0.3">
      <c r="E35" s="187" t="s">
        <v>514</v>
      </c>
    </row>
    <row r="37" spans="3:8" x14ac:dyDescent="0.3">
      <c r="G37" s="206" t="s">
        <v>515</v>
      </c>
    </row>
    <row r="39" spans="3:8" x14ac:dyDescent="0.3">
      <c r="H39" s="187" t="s">
        <v>516</v>
      </c>
    </row>
    <row r="41" spans="3:8" x14ac:dyDescent="0.3">
      <c r="G41" s="502" t="s">
        <v>517</v>
      </c>
    </row>
    <row r="43" spans="3:8" x14ac:dyDescent="0.3">
      <c r="H43" s="187" t="s">
        <v>518</v>
      </c>
    </row>
    <row r="45" spans="3:8" x14ac:dyDescent="0.3">
      <c r="C45" s="187" t="s">
        <v>519</v>
      </c>
    </row>
    <row r="47" spans="3:8" x14ac:dyDescent="0.3">
      <c r="C47" s="187" t="s">
        <v>581</v>
      </c>
    </row>
    <row r="48" spans="3:8" x14ac:dyDescent="0.3">
      <c r="C48" s="187" t="s">
        <v>582</v>
      </c>
    </row>
    <row r="50" spans="3:8" x14ac:dyDescent="0.3">
      <c r="C50" s="187" t="s">
        <v>583</v>
      </c>
    </row>
    <row r="51" spans="3:8" x14ac:dyDescent="0.3">
      <c r="C51" s="187" t="s">
        <v>548</v>
      </c>
      <c r="E51" s="187" t="s">
        <v>499</v>
      </c>
    </row>
    <row r="53" spans="3:8" x14ac:dyDescent="0.3">
      <c r="C53" s="187" t="s">
        <v>521</v>
      </c>
      <c r="G53" s="524" t="s">
        <v>520</v>
      </c>
    </row>
    <row r="55" spans="3:8" x14ac:dyDescent="0.3">
      <c r="E55" s="187" t="s">
        <v>523</v>
      </c>
    </row>
    <row r="57" spans="3:8" x14ac:dyDescent="0.3">
      <c r="G57" s="187" t="s">
        <v>522</v>
      </c>
    </row>
    <row r="59" spans="3:8" x14ac:dyDescent="0.3">
      <c r="F59" s="187" t="s">
        <v>525</v>
      </c>
    </row>
    <row r="60" spans="3:8" x14ac:dyDescent="0.3">
      <c r="H60" s="187" t="s">
        <v>524</v>
      </c>
    </row>
    <row r="62" spans="3:8" x14ac:dyDescent="0.3">
      <c r="G62" s="187" t="s">
        <v>526</v>
      </c>
    </row>
    <row r="64" spans="3:8" x14ac:dyDescent="0.3">
      <c r="H64" s="187" t="s">
        <v>527</v>
      </c>
    </row>
    <row r="66" spans="2:6" x14ac:dyDescent="0.3">
      <c r="F66" s="187" t="s">
        <v>528</v>
      </c>
    </row>
    <row r="68" spans="2:6" x14ac:dyDescent="0.3">
      <c r="D68" s="187" t="s">
        <v>549</v>
      </c>
    </row>
    <row r="69" spans="2:6" x14ac:dyDescent="0.3">
      <c r="E69" s="187" t="s">
        <v>529</v>
      </c>
    </row>
    <row r="71" spans="2:6" x14ac:dyDescent="0.3">
      <c r="C71" s="187" t="s">
        <v>530</v>
      </c>
    </row>
    <row r="73" spans="2:6" x14ac:dyDescent="0.3">
      <c r="C73" s="187" t="s">
        <v>531</v>
      </c>
    </row>
    <row r="76" spans="2:6" x14ac:dyDescent="0.3">
      <c r="C76" s="187" t="s">
        <v>551</v>
      </c>
    </row>
    <row r="77" spans="2:6" x14ac:dyDescent="0.3">
      <c r="C77" s="187" t="s">
        <v>550</v>
      </c>
    </row>
    <row r="80" spans="2:6" x14ac:dyDescent="0.3">
      <c r="B80" s="187" t="s">
        <v>532</v>
      </c>
    </row>
    <row r="82" spans="2:5" x14ac:dyDescent="0.3">
      <c r="C82" s="187" t="s">
        <v>533</v>
      </c>
      <c r="D82" s="187" t="s">
        <v>535</v>
      </c>
      <c r="E82" s="187" t="s">
        <v>536</v>
      </c>
    </row>
    <row r="84" spans="2:5" x14ac:dyDescent="0.3">
      <c r="B84" s="187" t="s">
        <v>537</v>
      </c>
    </row>
    <row r="86" spans="2:5" x14ac:dyDescent="0.3">
      <c r="B86" s="187" t="s">
        <v>586</v>
      </c>
    </row>
    <row r="88" spans="2:5" x14ac:dyDescent="0.3">
      <c r="B88" s="187" t="s">
        <v>538</v>
      </c>
    </row>
    <row r="90" spans="2:5" x14ac:dyDescent="0.3">
      <c r="C90" s="187" t="s">
        <v>539</v>
      </c>
    </row>
    <row r="91" spans="2:5" x14ac:dyDescent="0.3">
      <c r="C91" s="187" t="s">
        <v>540</v>
      </c>
    </row>
    <row r="93" spans="2:5" x14ac:dyDescent="0.3">
      <c r="E93" s="187" t="s">
        <v>541</v>
      </c>
    </row>
    <row r="95" spans="2:5" x14ac:dyDescent="0.3">
      <c r="C95" s="187" t="s">
        <v>542</v>
      </c>
    </row>
    <row r="97" spans="2:4" x14ac:dyDescent="0.3">
      <c r="B97" s="187" t="s">
        <v>543</v>
      </c>
    </row>
    <row r="99" spans="2:4" x14ac:dyDescent="0.3">
      <c r="D99" s="187" t="s">
        <v>544</v>
      </c>
    </row>
    <row r="100" spans="2:4" x14ac:dyDescent="0.3">
      <c r="D100" s="187" t="s">
        <v>545</v>
      </c>
    </row>
  </sheetData>
  <phoneticPr fontId="73" type="noConversion"/>
  <printOptions horizontalCentered="1" verticalCentered="1"/>
  <pageMargins left="0.11811023622047245" right="0.11811023622047245" top="0.35433070866141736" bottom="0.15748031496062992" header="0.31496062992125984" footer="0.31496062992125984"/>
  <pageSetup paperSize="9" scale="80" orientation="landscape" horizontalDpi="4294967293" verticalDpi="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K53"/>
  <sheetViews>
    <sheetView workbookViewId="0">
      <selection activeCell="C11" sqref="C11"/>
    </sheetView>
  </sheetViews>
  <sheetFormatPr baseColWidth="10" defaultColWidth="11.44140625" defaultRowHeight="15.6" x14ac:dyDescent="0.3"/>
  <cols>
    <col min="1" max="1" width="3.33203125" style="187" customWidth="1"/>
    <col min="2" max="3" width="25.664062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531" t="s">
        <v>557</v>
      </c>
      <c r="C1" s="531"/>
      <c r="D1" s="531"/>
      <c r="E1" s="531"/>
      <c r="F1" s="531"/>
      <c r="G1" s="531"/>
      <c r="H1" s="531"/>
    </row>
    <row r="2" spans="2:11" ht="14.25" hidden="1" customHeight="1" x14ac:dyDescent="0.3"/>
    <row r="3" spans="2:11" ht="13.8" hidden="1" customHeight="1" x14ac:dyDescent="0.3"/>
    <row r="4" spans="2:11" hidden="1" x14ac:dyDescent="0.3"/>
    <row r="5" spans="2:11" ht="14.25" customHeight="1" x14ac:dyDescent="0.3"/>
    <row r="6" spans="2:11" ht="14.25" customHeight="1" x14ac:dyDescent="0.3">
      <c r="B6" s="38" t="s">
        <v>105</v>
      </c>
      <c r="C6" s="38" t="s">
        <v>106</v>
      </c>
      <c r="D6" s="38" t="s">
        <v>107</v>
      </c>
      <c r="E6" s="38"/>
      <c r="J6" s="189"/>
      <c r="K6" s="190"/>
    </row>
    <row r="7" spans="2:11" ht="14.25" customHeight="1" x14ac:dyDescent="0.3">
      <c r="B7" s="491">
        <v>0</v>
      </c>
      <c r="C7" s="491">
        <v>1591</v>
      </c>
      <c r="D7" s="491">
        <v>0</v>
      </c>
      <c r="E7" s="492">
        <f t="shared" ref="E7:E26" si="0" xml:space="preserve"> IF($H$11&gt;=B7,IF($H$11&lt;C7,D7,0),0)</f>
        <v>0</v>
      </c>
    </row>
    <row r="8" spans="2:11" ht="14.25" customHeight="1" x14ac:dyDescent="0.3">
      <c r="B8" s="491">
        <f>C7</f>
        <v>1591</v>
      </c>
      <c r="C8" s="491">
        <v>1653</v>
      </c>
      <c r="D8" s="436">
        <v>5.0000000000000001E-3</v>
      </c>
      <c r="E8" s="436">
        <f t="shared" si="0"/>
        <v>0</v>
      </c>
    </row>
    <row r="9" spans="2:11" ht="14.25" customHeight="1" x14ac:dyDescent="0.3">
      <c r="B9" s="491">
        <f t="shared" ref="B9:B26" si="1">C8</f>
        <v>1653</v>
      </c>
      <c r="C9" s="491">
        <v>1759</v>
      </c>
      <c r="D9" s="436">
        <v>1.2999999999999999E-2</v>
      </c>
      <c r="E9" s="436">
        <f t="shared" si="0"/>
        <v>0</v>
      </c>
    </row>
    <row r="10" spans="2:11" ht="14.25" customHeight="1" x14ac:dyDescent="0.3">
      <c r="B10" s="491">
        <f t="shared" si="1"/>
        <v>1759</v>
      </c>
      <c r="C10" s="491">
        <v>1877</v>
      </c>
      <c r="D10" s="436">
        <v>2.1000000000000001E-2</v>
      </c>
      <c r="E10" s="436">
        <f t="shared" si="0"/>
        <v>0</v>
      </c>
      <c r="G10" s="532" t="s">
        <v>204</v>
      </c>
      <c r="H10" s="532"/>
    </row>
    <row r="11" spans="2:11" ht="14.25" customHeight="1" x14ac:dyDescent="0.3">
      <c r="B11" s="491">
        <f t="shared" si="1"/>
        <v>1877</v>
      </c>
      <c r="C11" s="491">
        <v>2006</v>
      </c>
      <c r="D11" s="436">
        <v>2.9000000000000001E-2</v>
      </c>
      <c r="E11" s="436">
        <f t="shared" si="0"/>
        <v>0</v>
      </c>
      <c r="G11" s="195" t="s">
        <v>103</v>
      </c>
      <c r="H11" s="196">
        <v>3000</v>
      </c>
    </row>
    <row r="12" spans="2:11" ht="14.25" customHeight="1" x14ac:dyDescent="0.3">
      <c r="B12" s="491">
        <f t="shared" si="1"/>
        <v>2006</v>
      </c>
      <c r="C12" s="491">
        <v>2113</v>
      </c>
      <c r="D12" s="436">
        <v>3.5000000000000003E-2</v>
      </c>
      <c r="E12" s="436">
        <f t="shared" si="0"/>
        <v>0</v>
      </c>
      <c r="G12" s="195" t="s">
        <v>104</v>
      </c>
      <c r="H12" s="197">
        <f>E27</f>
        <v>7.4999999999999997E-2</v>
      </c>
    </row>
    <row r="13" spans="2:11" ht="14.25" customHeight="1" x14ac:dyDescent="0.3">
      <c r="B13" s="491">
        <f t="shared" si="1"/>
        <v>2113</v>
      </c>
      <c r="C13" s="491">
        <v>2253</v>
      </c>
      <c r="D13" s="436">
        <v>4.1000000000000002E-2</v>
      </c>
      <c r="E13" s="436">
        <f t="shared" si="0"/>
        <v>0</v>
      </c>
    </row>
    <row r="14" spans="2:11" ht="14.25" customHeight="1" x14ac:dyDescent="0.3">
      <c r="B14" s="491">
        <f t="shared" si="1"/>
        <v>2253</v>
      </c>
      <c r="C14" s="491">
        <v>2666</v>
      </c>
      <c r="D14" s="436">
        <v>5.2999999999999999E-2</v>
      </c>
      <c r="E14" s="436">
        <f t="shared" si="0"/>
        <v>0</v>
      </c>
    </row>
    <row r="15" spans="2:11" ht="14.25" customHeight="1" x14ac:dyDescent="0.3">
      <c r="B15" s="491">
        <f t="shared" si="1"/>
        <v>2666</v>
      </c>
      <c r="C15" s="491">
        <v>3052</v>
      </c>
      <c r="D15" s="436">
        <v>7.4999999999999997E-2</v>
      </c>
      <c r="E15" s="436">
        <f t="shared" si="0"/>
        <v>7.4999999999999997E-2</v>
      </c>
    </row>
    <row r="16" spans="2:11" ht="14.25" customHeight="1" x14ac:dyDescent="0.3">
      <c r="B16" s="491">
        <f t="shared" si="1"/>
        <v>3052</v>
      </c>
      <c r="C16" s="491">
        <v>3476</v>
      </c>
      <c r="D16" s="436">
        <v>9.9000000000000005E-2</v>
      </c>
      <c r="E16" s="436">
        <f t="shared" si="0"/>
        <v>0</v>
      </c>
    </row>
    <row r="17" spans="2:11" ht="14.25" customHeight="1" x14ac:dyDescent="0.3">
      <c r="B17" s="491">
        <f t="shared" si="1"/>
        <v>3476</v>
      </c>
      <c r="C17" s="491">
        <v>3913</v>
      </c>
      <c r="D17" s="436">
        <v>0.11899999999999999</v>
      </c>
      <c r="E17" s="436">
        <f t="shared" si="0"/>
        <v>0</v>
      </c>
    </row>
    <row r="18" spans="2:11" ht="14.25" customHeight="1" x14ac:dyDescent="0.3">
      <c r="B18" s="491">
        <f t="shared" si="1"/>
        <v>3913</v>
      </c>
      <c r="C18" s="491">
        <v>4566</v>
      </c>
      <c r="D18" s="436">
        <v>0.13800000000000001</v>
      </c>
      <c r="E18" s="436">
        <f t="shared" si="0"/>
        <v>0</v>
      </c>
    </row>
    <row r="19" spans="2:11" ht="14.25" customHeight="1" x14ac:dyDescent="0.3">
      <c r="B19" s="491">
        <f t="shared" si="1"/>
        <v>4566</v>
      </c>
      <c r="C19" s="491">
        <v>5475</v>
      </c>
      <c r="D19" s="436">
        <v>0.158</v>
      </c>
      <c r="E19" s="436">
        <f t="shared" si="0"/>
        <v>0</v>
      </c>
    </row>
    <row r="20" spans="2:11" ht="14.25" customHeight="1" x14ac:dyDescent="0.3">
      <c r="B20" s="491">
        <f t="shared" si="1"/>
        <v>5475</v>
      </c>
      <c r="C20" s="491">
        <v>6851</v>
      </c>
      <c r="D20" s="436">
        <v>0.17899999999999999</v>
      </c>
      <c r="E20" s="436">
        <f t="shared" si="0"/>
        <v>0</v>
      </c>
    </row>
    <row r="21" spans="2:11" ht="14.25" customHeight="1" x14ac:dyDescent="0.3">
      <c r="B21" s="491">
        <f t="shared" si="1"/>
        <v>6851</v>
      </c>
      <c r="C21" s="491">
        <v>8557</v>
      </c>
      <c r="D21" s="436">
        <v>0.2</v>
      </c>
      <c r="E21" s="436">
        <f t="shared" si="0"/>
        <v>0</v>
      </c>
    </row>
    <row r="22" spans="2:11" ht="14.25" customHeight="1" x14ac:dyDescent="0.3">
      <c r="B22" s="491">
        <f t="shared" si="1"/>
        <v>8557</v>
      </c>
      <c r="C22" s="491">
        <v>11877</v>
      </c>
      <c r="D22" s="436">
        <v>0.24</v>
      </c>
      <c r="E22" s="436">
        <f t="shared" si="0"/>
        <v>0</v>
      </c>
    </row>
    <row r="23" spans="2:11" ht="14.25" customHeight="1" x14ac:dyDescent="0.3">
      <c r="B23" s="491">
        <f t="shared" si="1"/>
        <v>11877</v>
      </c>
      <c r="C23" s="491">
        <v>16086</v>
      </c>
      <c r="D23" s="436">
        <v>0.28000000000000003</v>
      </c>
      <c r="E23" s="436">
        <f t="shared" si="0"/>
        <v>0</v>
      </c>
    </row>
    <row r="24" spans="2:11" ht="14.25" customHeight="1" x14ac:dyDescent="0.3">
      <c r="B24" s="491">
        <f t="shared" si="1"/>
        <v>16086</v>
      </c>
      <c r="C24" s="491">
        <v>25251</v>
      </c>
      <c r="D24" s="436">
        <v>0.33</v>
      </c>
      <c r="E24" s="436">
        <f t="shared" si="0"/>
        <v>0</v>
      </c>
    </row>
    <row r="25" spans="2:11" ht="14.25" customHeight="1" x14ac:dyDescent="0.3">
      <c r="B25" s="491">
        <f t="shared" si="1"/>
        <v>25251</v>
      </c>
      <c r="C25" s="491">
        <v>54088</v>
      </c>
      <c r="D25" s="436">
        <v>0.38</v>
      </c>
      <c r="E25" s="436">
        <f t="shared" si="0"/>
        <v>0</v>
      </c>
    </row>
    <row r="26" spans="2:11" ht="14.25" customHeight="1" x14ac:dyDescent="0.3">
      <c r="B26" s="491">
        <f t="shared" si="1"/>
        <v>54088</v>
      </c>
      <c r="C26" s="491">
        <v>99999999999</v>
      </c>
      <c r="D26" s="436">
        <v>0.43</v>
      </c>
      <c r="E26" s="436">
        <f t="shared" si="0"/>
        <v>0</v>
      </c>
    </row>
    <row r="27" spans="2:11" ht="14.25" customHeight="1" x14ac:dyDescent="0.3">
      <c r="B27" s="189"/>
      <c r="E27" s="194">
        <f>SUM(E7:E26)</f>
        <v>7.4999999999999997E-2</v>
      </c>
    </row>
    <row r="28" spans="2:11" ht="18" customHeight="1" x14ac:dyDescent="0.3"/>
    <row r="29" spans="2:11" ht="14.25" hidden="1" customHeight="1" x14ac:dyDescent="0.3">
      <c r="J29" s="533"/>
      <c r="K29" s="533"/>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205</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G10:H10"/>
    <mergeCell ref="B1:H1"/>
    <mergeCell ref="J29:K29"/>
  </mergeCells>
  <printOptions horizontalCentered="1" verticalCentered="1"/>
  <pageMargins left="0.11811023622047245" right="0.11811023622047245" top="0.15748031496062992" bottom="0.15748031496062992" header="0.31496062992125984" footer="0.31496062992125984"/>
  <pageSetup paperSize="9" scale="75" orientation="landscape" horizontalDpi="300" verticalDpi="300"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21AACF0-7A4A-46E2-AD4B-012E9328D01D}">
  <dimension ref="B1:K53"/>
  <sheetViews>
    <sheetView workbookViewId="0">
      <selection activeCell="E8" sqref="E8"/>
    </sheetView>
  </sheetViews>
  <sheetFormatPr baseColWidth="10" defaultColWidth="11.44140625" defaultRowHeight="15.6" x14ac:dyDescent="0.3"/>
  <cols>
    <col min="1" max="1" width="3.33203125" style="187" customWidth="1"/>
    <col min="2" max="3" width="23.2187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531" t="s">
        <v>558</v>
      </c>
      <c r="C1" s="531"/>
      <c r="D1" s="531"/>
      <c r="E1" s="531"/>
      <c r="F1" s="531"/>
      <c r="G1" s="531"/>
      <c r="H1" s="531"/>
    </row>
    <row r="2" spans="2:11" ht="14.25" customHeight="1" x14ac:dyDescent="0.3"/>
    <row r="3" spans="2:11" ht="13.8" hidden="1" customHeight="1" x14ac:dyDescent="0.3"/>
    <row r="4" spans="2:11" hidden="1" x14ac:dyDescent="0.3"/>
    <row r="5" spans="2:11" ht="14.25" customHeight="1" x14ac:dyDescent="0.3"/>
    <row r="6" spans="2:11" ht="14.25" customHeight="1" x14ac:dyDescent="0.3">
      <c r="C6" s="38" t="s">
        <v>105</v>
      </c>
      <c r="D6" s="38" t="s">
        <v>107</v>
      </c>
      <c r="E6" s="38"/>
      <c r="J6" s="189"/>
      <c r="K6" s="190"/>
    </row>
    <row r="7" spans="2:11" ht="14.25" customHeight="1" x14ac:dyDescent="0.3">
      <c r="B7" s="520">
        <v>0</v>
      </c>
      <c r="C7" s="520">
        <v>1620</v>
      </c>
      <c r="D7" s="491">
        <v>0</v>
      </c>
      <c r="E7" s="492">
        <f t="shared" ref="E7:E26" si="0" xml:space="preserve"> IF($H$11&gt;=B7,IF($H$11&lt;C7,D7,0),0)</f>
        <v>0</v>
      </c>
    </row>
    <row r="8" spans="2:11" ht="14.25" customHeight="1" x14ac:dyDescent="0.3">
      <c r="B8" s="520">
        <f>C7</f>
        <v>1620</v>
      </c>
      <c r="C8" s="520">
        <v>1683</v>
      </c>
      <c r="D8" s="436">
        <v>5.0000000000000001E-3</v>
      </c>
      <c r="E8" s="436">
        <f t="shared" si="0"/>
        <v>0</v>
      </c>
    </row>
    <row r="9" spans="2:11" ht="14.25" customHeight="1" x14ac:dyDescent="0.3">
      <c r="B9" s="520">
        <f>C8</f>
        <v>1683</v>
      </c>
      <c r="C9" s="520">
        <v>1791</v>
      </c>
      <c r="D9" s="436">
        <v>1.2999999999999999E-2</v>
      </c>
      <c r="E9" s="436">
        <f t="shared" si="0"/>
        <v>0</v>
      </c>
    </row>
    <row r="10" spans="2:11" ht="14.25" customHeight="1" x14ac:dyDescent="0.3">
      <c r="B10" s="520">
        <f>C9</f>
        <v>1791</v>
      </c>
      <c r="C10" s="520">
        <v>1911</v>
      </c>
      <c r="D10" s="436">
        <v>2.1000000000000001E-2</v>
      </c>
      <c r="E10" s="436">
        <f t="shared" si="0"/>
        <v>0</v>
      </c>
      <c r="G10" s="532" t="s">
        <v>204</v>
      </c>
      <c r="H10" s="532"/>
    </row>
    <row r="11" spans="2:11" ht="14.25" customHeight="1" x14ac:dyDescent="0.3">
      <c r="B11" s="520">
        <f>C10</f>
        <v>1911</v>
      </c>
      <c r="C11" s="520">
        <v>2042</v>
      </c>
      <c r="D11" s="436">
        <v>2.9000000000000001E-2</v>
      </c>
      <c r="E11" s="436">
        <f t="shared" si="0"/>
        <v>0</v>
      </c>
      <c r="G11" s="195" t="s">
        <v>103</v>
      </c>
      <c r="H11" s="196">
        <v>3000</v>
      </c>
    </row>
    <row r="12" spans="2:11" ht="14.25" customHeight="1" x14ac:dyDescent="0.3">
      <c r="B12" s="520">
        <f>C11</f>
        <v>2042</v>
      </c>
      <c r="C12" s="520">
        <v>2151</v>
      </c>
      <c r="D12" s="436">
        <v>3.5000000000000003E-2</v>
      </c>
      <c r="E12" s="436">
        <f t="shared" si="0"/>
        <v>0</v>
      </c>
      <c r="G12" s="195" t="s">
        <v>104</v>
      </c>
      <c r="H12" s="197">
        <f>E27</f>
        <v>7.4999999999999997E-2</v>
      </c>
    </row>
    <row r="13" spans="2:11" ht="14.25" customHeight="1" x14ac:dyDescent="0.3">
      <c r="B13" s="520">
        <f t="shared" ref="B13:B24" si="1">C12</f>
        <v>2151</v>
      </c>
      <c r="C13" s="520">
        <v>2294</v>
      </c>
      <c r="D13" s="436">
        <v>4.1000000000000002E-2</v>
      </c>
      <c r="E13" s="436">
        <f t="shared" si="0"/>
        <v>0</v>
      </c>
    </row>
    <row r="14" spans="2:11" ht="14.25" customHeight="1" x14ac:dyDescent="0.3">
      <c r="B14" s="520">
        <f t="shared" si="1"/>
        <v>2294</v>
      </c>
      <c r="C14" s="520">
        <v>2714</v>
      </c>
      <c r="D14" s="436">
        <v>5.2999999999999999E-2</v>
      </c>
      <c r="E14" s="436">
        <f t="shared" si="0"/>
        <v>0</v>
      </c>
    </row>
    <row r="15" spans="2:11" ht="14.25" customHeight="1" x14ac:dyDescent="0.3">
      <c r="B15" s="520">
        <f t="shared" si="1"/>
        <v>2714</v>
      </c>
      <c r="C15" s="520">
        <v>3107</v>
      </c>
      <c r="D15" s="436">
        <v>7.4999999999999997E-2</v>
      </c>
      <c r="E15" s="436">
        <f t="shared" si="0"/>
        <v>7.4999999999999997E-2</v>
      </c>
    </row>
    <row r="16" spans="2:11" ht="14.25" customHeight="1" x14ac:dyDescent="0.3">
      <c r="B16" s="520">
        <f t="shared" si="1"/>
        <v>3107</v>
      </c>
      <c r="C16" s="520">
        <v>3539</v>
      </c>
      <c r="D16" s="436">
        <v>9.9000000000000005E-2</v>
      </c>
      <c r="E16" s="436">
        <f t="shared" si="0"/>
        <v>0</v>
      </c>
    </row>
    <row r="17" spans="2:11" ht="14.25" customHeight="1" x14ac:dyDescent="0.3">
      <c r="B17" s="520">
        <f t="shared" si="1"/>
        <v>3539</v>
      </c>
      <c r="C17" s="520">
        <v>3983</v>
      </c>
      <c r="D17" s="436">
        <v>0.11899999999999999</v>
      </c>
      <c r="E17" s="436">
        <f t="shared" si="0"/>
        <v>0</v>
      </c>
    </row>
    <row r="18" spans="2:11" ht="14.25" customHeight="1" x14ac:dyDescent="0.3">
      <c r="B18" s="520">
        <f t="shared" si="1"/>
        <v>3983</v>
      </c>
      <c r="C18" s="520">
        <v>4648</v>
      </c>
      <c r="D18" s="436">
        <v>0.13800000000000001</v>
      </c>
      <c r="E18" s="436">
        <f t="shared" si="0"/>
        <v>0</v>
      </c>
    </row>
    <row r="19" spans="2:11" ht="14.25" customHeight="1" x14ac:dyDescent="0.3">
      <c r="B19" s="520">
        <f t="shared" si="1"/>
        <v>4648</v>
      </c>
      <c r="C19" s="520">
        <v>5574</v>
      </c>
      <c r="D19" s="436">
        <v>0.158</v>
      </c>
      <c r="E19" s="436">
        <f t="shared" si="0"/>
        <v>0</v>
      </c>
    </row>
    <row r="20" spans="2:11" ht="14.25" customHeight="1" x14ac:dyDescent="0.3">
      <c r="B20" s="520">
        <f t="shared" si="1"/>
        <v>5574</v>
      </c>
      <c r="C20" s="520">
        <v>6974</v>
      </c>
      <c r="D20" s="436">
        <v>0.17899999999999999</v>
      </c>
      <c r="E20" s="436">
        <f t="shared" si="0"/>
        <v>0</v>
      </c>
    </row>
    <row r="21" spans="2:11" ht="14.25" customHeight="1" x14ac:dyDescent="0.3">
      <c r="B21" s="520">
        <f t="shared" si="1"/>
        <v>6974</v>
      </c>
      <c r="C21" s="520">
        <v>8711</v>
      </c>
      <c r="D21" s="436">
        <v>0.2</v>
      </c>
      <c r="E21" s="436">
        <f t="shared" si="0"/>
        <v>0</v>
      </c>
    </row>
    <row r="22" spans="2:11" ht="14.25" customHeight="1" x14ac:dyDescent="0.3">
      <c r="B22" s="520">
        <f t="shared" si="1"/>
        <v>8711</v>
      </c>
      <c r="C22" s="520">
        <v>12091</v>
      </c>
      <c r="D22" s="436">
        <v>0.24</v>
      </c>
      <c r="E22" s="436">
        <f t="shared" si="0"/>
        <v>0</v>
      </c>
    </row>
    <row r="23" spans="2:11" ht="14.25" customHeight="1" x14ac:dyDescent="0.3">
      <c r="B23" s="520">
        <f t="shared" si="1"/>
        <v>12091</v>
      </c>
      <c r="C23" s="520">
        <v>16376</v>
      </c>
      <c r="D23" s="436">
        <v>0.28000000000000003</v>
      </c>
      <c r="E23" s="436">
        <f t="shared" si="0"/>
        <v>0</v>
      </c>
    </row>
    <row r="24" spans="2:11" ht="14.25" customHeight="1" x14ac:dyDescent="0.3">
      <c r="B24" s="520">
        <f t="shared" si="1"/>
        <v>16376</v>
      </c>
      <c r="C24" s="520">
        <v>25706</v>
      </c>
      <c r="D24" s="436">
        <v>0.33</v>
      </c>
      <c r="E24" s="436">
        <f t="shared" si="0"/>
        <v>0</v>
      </c>
    </row>
    <row r="25" spans="2:11" ht="14.25" customHeight="1" x14ac:dyDescent="0.3">
      <c r="B25" s="520">
        <f>C24</f>
        <v>25706</v>
      </c>
      <c r="C25" s="520">
        <v>55062</v>
      </c>
      <c r="D25" s="436">
        <v>0.38</v>
      </c>
      <c r="E25" s="436">
        <f t="shared" si="0"/>
        <v>0</v>
      </c>
    </row>
    <row r="26" spans="2:11" ht="14.25" customHeight="1" x14ac:dyDescent="0.3">
      <c r="B26" s="520">
        <f>C25</f>
        <v>55062</v>
      </c>
      <c r="C26" s="520"/>
      <c r="D26" s="436">
        <v>0.43</v>
      </c>
      <c r="E26" s="436">
        <f t="shared" si="0"/>
        <v>0</v>
      </c>
    </row>
    <row r="27" spans="2:11" ht="14.25" customHeight="1" x14ac:dyDescent="0.3">
      <c r="B27" s="521"/>
      <c r="C27" s="521"/>
      <c r="E27" s="194">
        <f>SUM(E7:E26)</f>
        <v>7.4999999999999997E-2</v>
      </c>
    </row>
    <row r="28" spans="2:11" ht="18" customHeight="1" x14ac:dyDescent="0.3"/>
    <row r="29" spans="2:11" ht="14.25" hidden="1" customHeight="1" x14ac:dyDescent="0.3">
      <c r="B29" s="522" t="s">
        <v>488</v>
      </c>
      <c r="C29" s="522"/>
      <c r="J29" s="533"/>
      <c r="K29" s="533"/>
    </row>
    <row r="30" spans="2:11" ht="14.25" hidden="1" customHeight="1" x14ac:dyDescent="0.3">
      <c r="D30" s="38" t="s">
        <v>107</v>
      </c>
      <c r="E30" s="38"/>
      <c r="K30" s="199"/>
    </row>
    <row r="31" spans="2:11" ht="14.25" hidden="1" customHeight="1" x14ac:dyDescent="0.3">
      <c r="D31" s="191">
        <v>0</v>
      </c>
      <c r="E31" s="192">
        <f t="shared" ref="E31:E50" si="2" xml:space="preserve"> IF($G$34&gt;=B31,IF($G$34&lt;C31,D31,0),0)</f>
        <v>0</v>
      </c>
      <c r="K31" s="200"/>
    </row>
    <row r="32" spans="2:11" ht="14.25" hidden="1" customHeight="1" x14ac:dyDescent="0.3">
      <c r="D32" s="193">
        <v>5.0000000000000001E-3</v>
      </c>
      <c r="E32" s="194">
        <f t="shared" si="2"/>
        <v>0</v>
      </c>
      <c r="F32" s="201"/>
    </row>
    <row r="33" spans="4:7" ht="14.25" hidden="1" customHeight="1" x14ac:dyDescent="0.3">
      <c r="D33" s="193">
        <v>1.2999999999999999E-2</v>
      </c>
      <c r="E33" s="194">
        <f t="shared" si="2"/>
        <v>0</v>
      </c>
      <c r="F33" s="201"/>
      <c r="G33" s="195" t="s">
        <v>205</v>
      </c>
    </row>
    <row r="34" spans="4:7" ht="14.25" hidden="1" customHeight="1" x14ac:dyDescent="0.3">
      <c r="D34" s="194">
        <v>2.1000000000000001E-2</v>
      </c>
      <c r="E34" s="194">
        <f t="shared" si="2"/>
        <v>0</v>
      </c>
      <c r="F34" s="201"/>
      <c r="G34" s="196"/>
    </row>
    <row r="35" spans="4:7" ht="14.25" hidden="1" customHeight="1" x14ac:dyDescent="0.3">
      <c r="D35" s="194">
        <v>2.9000000000000001E-2</v>
      </c>
      <c r="E35" s="194">
        <f t="shared" si="2"/>
        <v>0</v>
      </c>
      <c r="F35" s="201"/>
      <c r="G35" s="197"/>
    </row>
    <row r="36" spans="4:7" ht="14.25" hidden="1" customHeight="1" x14ac:dyDescent="0.3">
      <c r="D36" s="194">
        <v>3.5000000000000003E-2</v>
      </c>
      <c r="E36" s="194">
        <f t="shared" si="2"/>
        <v>0</v>
      </c>
      <c r="F36" s="201"/>
    </row>
    <row r="37" spans="4:7" ht="14.25" hidden="1" customHeight="1" x14ac:dyDescent="0.3">
      <c r="D37" s="194">
        <v>4.1000000000000002E-2</v>
      </c>
      <c r="E37" s="194">
        <f t="shared" si="2"/>
        <v>0</v>
      </c>
      <c r="F37" s="201"/>
    </row>
    <row r="38" spans="4:7" ht="14.25" hidden="1" customHeight="1" x14ac:dyDescent="0.3">
      <c r="D38" s="194">
        <v>5.2999999999999999E-2</v>
      </c>
      <c r="E38" s="194">
        <f t="shared" si="2"/>
        <v>0</v>
      </c>
      <c r="F38" s="201"/>
    </row>
    <row r="39" spans="4:7" ht="14.25" hidden="1" customHeight="1" x14ac:dyDescent="0.3">
      <c r="D39" s="194">
        <v>7.4999999999999997E-2</v>
      </c>
      <c r="E39" s="194">
        <f t="shared" si="2"/>
        <v>0</v>
      </c>
      <c r="F39" s="201"/>
    </row>
    <row r="40" spans="4:7" ht="14.25" hidden="1" customHeight="1" x14ac:dyDescent="0.3">
      <c r="D40" s="194">
        <v>9.9000000000000005E-2</v>
      </c>
      <c r="E40" s="194">
        <f t="shared" si="2"/>
        <v>0</v>
      </c>
      <c r="F40" s="201"/>
    </row>
    <row r="41" spans="4:7" ht="14.25" hidden="1" customHeight="1" x14ac:dyDescent="0.3">
      <c r="D41" s="194">
        <v>0.11899999999999999</v>
      </c>
      <c r="E41" s="194">
        <f t="shared" si="2"/>
        <v>0</v>
      </c>
      <c r="F41" s="201"/>
    </row>
    <row r="42" spans="4:7" ht="14.25" hidden="1" customHeight="1" x14ac:dyDescent="0.3">
      <c r="D42" s="194">
        <v>0.13800000000000001</v>
      </c>
      <c r="E42" s="194">
        <f t="shared" si="2"/>
        <v>0</v>
      </c>
      <c r="F42" s="201"/>
    </row>
    <row r="43" spans="4:7" ht="14.25" hidden="1" customHeight="1" x14ac:dyDescent="0.3">
      <c r="D43" s="194">
        <v>0.158</v>
      </c>
      <c r="E43" s="194">
        <f t="shared" si="2"/>
        <v>0</v>
      </c>
      <c r="F43" s="201"/>
    </row>
    <row r="44" spans="4:7" ht="14.25" hidden="1" customHeight="1" x14ac:dyDescent="0.3">
      <c r="D44" s="194">
        <v>0.17899999999999999</v>
      </c>
      <c r="E44" s="194">
        <f t="shared" si="2"/>
        <v>0</v>
      </c>
      <c r="F44" s="201"/>
    </row>
    <row r="45" spans="4:7" ht="14.25" hidden="1" customHeight="1" x14ac:dyDescent="0.3">
      <c r="D45" s="194">
        <v>0.2</v>
      </c>
      <c r="E45" s="194">
        <f t="shared" si="2"/>
        <v>0</v>
      </c>
      <c r="F45" s="201"/>
    </row>
    <row r="46" spans="4:7" ht="14.25" hidden="1" customHeight="1" x14ac:dyDescent="0.3">
      <c r="D46" s="194">
        <v>0.24</v>
      </c>
      <c r="E46" s="194">
        <f t="shared" si="2"/>
        <v>0</v>
      </c>
      <c r="F46" s="201"/>
    </row>
    <row r="47" spans="4:7" ht="14.25" hidden="1" customHeight="1" x14ac:dyDescent="0.3">
      <c r="D47" s="194">
        <v>0.28000000000000003</v>
      </c>
      <c r="E47" s="194">
        <f t="shared" si="2"/>
        <v>0</v>
      </c>
      <c r="F47" s="201"/>
    </row>
    <row r="48" spans="4:7" ht="14.25" hidden="1" customHeight="1" x14ac:dyDescent="0.3">
      <c r="D48" s="194">
        <v>0.33</v>
      </c>
      <c r="E48" s="194">
        <f t="shared" si="2"/>
        <v>0</v>
      </c>
      <c r="F48" s="201"/>
    </row>
    <row r="49" spans="4:6" ht="14.25" hidden="1" customHeight="1" x14ac:dyDescent="0.3">
      <c r="D49" s="194">
        <v>0.38</v>
      </c>
      <c r="E49" s="194">
        <f t="shared" si="2"/>
        <v>0</v>
      </c>
      <c r="F49" s="201"/>
    </row>
    <row r="50" spans="4:6" ht="14.25" hidden="1" customHeight="1" x14ac:dyDescent="0.3">
      <c r="D50" s="194">
        <v>0.43</v>
      </c>
      <c r="E50" s="194">
        <f t="shared" si="2"/>
        <v>0</v>
      </c>
      <c r="F50" s="201"/>
    </row>
    <row r="51" spans="4:6" ht="14.25" hidden="1" customHeight="1" x14ac:dyDescent="0.3">
      <c r="E51" s="194">
        <f>SUM(E31:E50)</f>
        <v>0</v>
      </c>
      <c r="F51" s="202"/>
    </row>
    <row r="52" spans="4:6" ht="15" hidden="1" customHeight="1" x14ac:dyDescent="0.3"/>
    <row r="53" spans="4:6" ht="15" hidden="1" customHeight="1" x14ac:dyDescent="0.3"/>
  </sheetData>
  <mergeCells count="3">
    <mergeCell ref="B1:H1"/>
    <mergeCell ref="G10:H10"/>
    <mergeCell ref="J29:K29"/>
  </mergeCells>
  <pageMargins left="0.70866141732283472" right="0.70866141732283472" top="0.74803149606299213" bottom="0.74803149606299213" header="0.31496062992125984" footer="0.31496062992125984"/>
  <pageSetup paperSize="9" orientation="landscape" horizontalDpi="4294967293" verticalDpi="0"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0C6DA-F87D-4950-BAF4-437962CEB2CD}">
  <dimension ref="B1:K53"/>
  <sheetViews>
    <sheetView workbookViewId="0">
      <selection activeCell="J16" sqref="J16"/>
    </sheetView>
  </sheetViews>
  <sheetFormatPr baseColWidth="10" defaultColWidth="11.44140625" defaultRowHeight="15.6" x14ac:dyDescent="0.3"/>
  <cols>
    <col min="1" max="1" width="3.33203125" style="187" customWidth="1"/>
    <col min="2" max="2" width="25.6640625" style="187" customWidth="1"/>
    <col min="3" max="3" width="41.5546875" style="187" customWidth="1"/>
    <col min="4" max="4" width="11.44140625" style="187"/>
    <col min="5" max="5" width="11.88671875" style="188" bestFit="1" customWidth="1"/>
    <col min="6" max="6" width="17.88671875" style="187" bestFit="1" customWidth="1"/>
    <col min="7" max="7" width="18.88671875" style="187" bestFit="1" customWidth="1"/>
    <col min="8" max="16384" width="11.44140625" style="187"/>
  </cols>
  <sheetData>
    <row r="1" spans="2:11" ht="20.25" customHeight="1" x14ac:dyDescent="0.3">
      <c r="B1" s="531" t="s">
        <v>578</v>
      </c>
      <c r="C1" s="531"/>
      <c r="D1" s="531"/>
      <c r="E1" s="531"/>
      <c r="F1" s="531"/>
      <c r="G1" s="531"/>
      <c r="H1" s="531"/>
    </row>
    <row r="2" spans="2:11" ht="14.25" customHeight="1" x14ac:dyDescent="0.3"/>
    <row r="3" spans="2:11" ht="14.25" customHeight="1" x14ac:dyDescent="0.3"/>
    <row r="5" spans="2:11" ht="14.25" customHeight="1" x14ac:dyDescent="0.3">
      <c r="G5" s="187" t="s">
        <v>489</v>
      </c>
      <c r="K5" s="523">
        <v>45778</v>
      </c>
    </row>
    <row r="6" spans="2:11" ht="14.25" customHeight="1" x14ac:dyDescent="0.3">
      <c r="B6" s="38" t="s">
        <v>105</v>
      </c>
      <c r="C6" s="38" t="s">
        <v>106</v>
      </c>
      <c r="D6" s="38" t="s">
        <v>107</v>
      </c>
      <c r="E6" s="38"/>
      <c r="G6" s="187" t="s">
        <v>490</v>
      </c>
      <c r="K6" s="190"/>
    </row>
    <row r="7" spans="2:11" ht="14.25" customHeight="1" x14ac:dyDescent="0.3">
      <c r="B7" s="491">
        <v>0</v>
      </c>
      <c r="C7" s="527">
        <f>IF($J$15&lt;$K$5,'TAUX NEUTRE JANVIER  '!C7,'TAUX NEUTRE MAI '!C7)</f>
        <v>1620</v>
      </c>
      <c r="D7" s="491">
        <v>0</v>
      </c>
      <c r="E7" s="526">
        <f xml:space="preserve"> IF($H$11&gt;=B7,IF($H$11&lt;C7,D7,0),0)</f>
        <v>0</v>
      </c>
    </row>
    <row r="8" spans="2:11" ht="14.25" customHeight="1" x14ac:dyDescent="0.3">
      <c r="B8" s="491">
        <f>C7</f>
        <v>1620</v>
      </c>
      <c r="C8" s="527">
        <f>IF($J$15&lt;$K$5,'TAUX NEUTRE JANVIER  '!C8,'TAUX NEUTRE MAI '!C8)</f>
        <v>1683</v>
      </c>
      <c r="D8" s="436">
        <v>5.0000000000000001E-3</v>
      </c>
      <c r="E8" s="436">
        <f t="shared" ref="E8:E26" si="0" xml:space="preserve"> IF($H$11&gt;=B8,IF($H$11&lt;C8,D8,0),0)</f>
        <v>0</v>
      </c>
    </row>
    <row r="9" spans="2:11" ht="14.25" customHeight="1" x14ac:dyDescent="0.3">
      <c r="B9" s="491">
        <f t="shared" ref="B9:B26" si="1">C8</f>
        <v>1683</v>
      </c>
      <c r="C9" s="527">
        <f>IF($J$15&lt;$K$5,'TAUX NEUTRE JANVIER  '!C9,'TAUX NEUTRE MAI '!C9)</f>
        <v>1791</v>
      </c>
      <c r="D9" s="436">
        <v>1.2999999999999999E-2</v>
      </c>
      <c r="E9" s="436">
        <f t="shared" si="0"/>
        <v>0</v>
      </c>
    </row>
    <row r="10" spans="2:11" ht="14.25" customHeight="1" x14ac:dyDescent="0.3">
      <c r="B10" s="491">
        <f t="shared" si="1"/>
        <v>1791</v>
      </c>
      <c r="C10" s="527">
        <f>IF($J$15&lt;$K$5,'TAUX NEUTRE JANVIER  '!C10,'TAUX NEUTRE MAI '!C10)</f>
        <v>1911</v>
      </c>
      <c r="D10" s="436">
        <v>2.1000000000000001E-2</v>
      </c>
      <c r="E10" s="436">
        <f t="shared" si="0"/>
        <v>0</v>
      </c>
      <c r="G10" s="532" t="s">
        <v>204</v>
      </c>
      <c r="H10" s="532"/>
    </row>
    <row r="11" spans="2:11" ht="14.25" customHeight="1" x14ac:dyDescent="0.3">
      <c r="B11" s="491">
        <f t="shared" si="1"/>
        <v>1911</v>
      </c>
      <c r="C11" s="527">
        <f>IF($J$15&lt;$K$5,'TAUX NEUTRE JANVIER  '!C11,'TAUX NEUTRE MAI '!C11)</f>
        <v>2042</v>
      </c>
      <c r="D11" s="436">
        <v>2.9000000000000001E-2</v>
      </c>
      <c r="E11" s="436">
        <f t="shared" si="0"/>
        <v>0</v>
      </c>
      <c r="G11" s="195" t="s">
        <v>103</v>
      </c>
      <c r="H11" s="196">
        <f>'BP FORMAT JUILLET 2023'!D89</f>
        <v>1571.54</v>
      </c>
    </row>
    <row r="12" spans="2:11" ht="14.25" customHeight="1" x14ac:dyDescent="0.3">
      <c r="B12" s="491">
        <f t="shared" si="1"/>
        <v>2042</v>
      </c>
      <c r="C12" s="527">
        <f>IF($J$15&lt;$K$5,'TAUX NEUTRE JANVIER  '!C12,'TAUX NEUTRE MAI '!C12)</f>
        <v>2151</v>
      </c>
      <c r="D12" s="436">
        <v>3.5000000000000003E-2</v>
      </c>
      <c r="E12" s="436">
        <f t="shared" si="0"/>
        <v>0</v>
      </c>
      <c r="G12" s="195" t="s">
        <v>104</v>
      </c>
      <c r="H12" s="197">
        <f>E27</f>
        <v>0</v>
      </c>
    </row>
    <row r="13" spans="2:11" ht="14.25" customHeight="1" x14ac:dyDescent="0.3">
      <c r="B13" s="491">
        <f t="shared" si="1"/>
        <v>2151</v>
      </c>
      <c r="C13" s="527">
        <f>IF($J$15&lt;$K$5,'TAUX NEUTRE JANVIER  '!C13,'TAUX NEUTRE MAI '!C13)</f>
        <v>2294</v>
      </c>
      <c r="D13" s="436">
        <v>4.1000000000000002E-2</v>
      </c>
      <c r="E13" s="436">
        <f t="shared" si="0"/>
        <v>0</v>
      </c>
    </row>
    <row r="14" spans="2:11" ht="14.25" customHeight="1" x14ac:dyDescent="0.3">
      <c r="B14" s="491">
        <f t="shared" si="1"/>
        <v>2294</v>
      </c>
      <c r="C14" s="527">
        <f>IF($J$15&lt;$K$5,'TAUX NEUTRE JANVIER  '!C14,'TAUX NEUTRE MAI '!C14)</f>
        <v>2714</v>
      </c>
      <c r="D14" s="436">
        <v>5.2999999999999999E-2</v>
      </c>
      <c r="E14" s="436">
        <f t="shared" si="0"/>
        <v>0</v>
      </c>
    </row>
    <row r="15" spans="2:11" ht="14.25" customHeight="1" x14ac:dyDescent="0.3">
      <c r="B15" s="491">
        <f t="shared" si="1"/>
        <v>2714</v>
      </c>
      <c r="C15" s="527">
        <f>IF($J$15&lt;$K$5,'TAUX NEUTRE JANVIER  '!C15,'TAUX NEUTRE MAI '!C15)</f>
        <v>3107</v>
      </c>
      <c r="D15" s="436">
        <v>7.4999999999999997E-2</v>
      </c>
      <c r="E15" s="436">
        <f t="shared" si="0"/>
        <v>0</v>
      </c>
      <c r="G15" s="187" t="s">
        <v>534</v>
      </c>
      <c r="J15" s="886">
        <f>'BP FORMAT JUILLET 2023'!H10</f>
        <v>45931</v>
      </c>
    </row>
    <row r="16" spans="2:11" ht="14.25" customHeight="1" x14ac:dyDescent="0.3">
      <c r="B16" s="491">
        <f t="shared" si="1"/>
        <v>3107</v>
      </c>
      <c r="C16" s="527">
        <f>IF($J$15&lt;$K$5,'TAUX NEUTRE JANVIER  '!C16,'TAUX NEUTRE MAI '!C16)</f>
        <v>3539</v>
      </c>
      <c r="D16" s="436">
        <v>9.9000000000000005E-2</v>
      </c>
      <c r="E16" s="436">
        <f t="shared" si="0"/>
        <v>0</v>
      </c>
    </row>
    <row r="17" spans="2:11" ht="14.25" customHeight="1" x14ac:dyDescent="0.3">
      <c r="B17" s="491">
        <f t="shared" si="1"/>
        <v>3539</v>
      </c>
      <c r="C17" s="527">
        <f>IF($J$15&lt;$K$5,'TAUX NEUTRE JANVIER  '!C17,'TAUX NEUTRE MAI '!C17)</f>
        <v>3983</v>
      </c>
      <c r="D17" s="436">
        <v>0.11899999999999999</v>
      </c>
      <c r="E17" s="436">
        <f t="shared" si="0"/>
        <v>0</v>
      </c>
    </row>
    <row r="18" spans="2:11" ht="14.25" customHeight="1" x14ac:dyDescent="0.3">
      <c r="B18" s="491">
        <f t="shared" si="1"/>
        <v>3983</v>
      </c>
      <c r="C18" s="527">
        <f>IF($J$15&lt;$K$5,'TAUX NEUTRE JANVIER  '!C18,'TAUX NEUTRE MAI '!C18)</f>
        <v>4648</v>
      </c>
      <c r="D18" s="436">
        <v>0.13800000000000001</v>
      </c>
      <c r="E18" s="436">
        <f t="shared" si="0"/>
        <v>0</v>
      </c>
    </row>
    <row r="19" spans="2:11" ht="14.25" customHeight="1" x14ac:dyDescent="0.3">
      <c r="B19" s="491">
        <f t="shared" si="1"/>
        <v>4648</v>
      </c>
      <c r="C19" s="527">
        <f>IF($J$15&lt;$K$5,'TAUX NEUTRE JANVIER  '!C19,'TAUX NEUTRE MAI '!C19)</f>
        <v>5574</v>
      </c>
      <c r="D19" s="436">
        <v>0.158</v>
      </c>
      <c r="E19" s="436">
        <f t="shared" si="0"/>
        <v>0</v>
      </c>
    </row>
    <row r="20" spans="2:11" ht="14.25" customHeight="1" x14ac:dyDescent="0.3">
      <c r="B20" s="491">
        <f t="shared" si="1"/>
        <v>5574</v>
      </c>
      <c r="C20" s="527">
        <f>IF($J$15&lt;$K$5,'TAUX NEUTRE JANVIER  '!C20,'TAUX NEUTRE MAI '!C20)</f>
        <v>6974</v>
      </c>
      <c r="D20" s="436">
        <v>0.17899999999999999</v>
      </c>
      <c r="E20" s="436">
        <f t="shared" si="0"/>
        <v>0</v>
      </c>
    </row>
    <row r="21" spans="2:11" ht="14.25" customHeight="1" x14ac:dyDescent="0.3">
      <c r="B21" s="491">
        <f t="shared" si="1"/>
        <v>6974</v>
      </c>
      <c r="C21" s="527">
        <f>IF($J$15&lt;$K$5,'TAUX NEUTRE JANVIER  '!C21,'TAUX NEUTRE MAI '!C21)</f>
        <v>8711</v>
      </c>
      <c r="D21" s="436">
        <v>0.2</v>
      </c>
      <c r="E21" s="436">
        <f t="shared" si="0"/>
        <v>0</v>
      </c>
    </row>
    <row r="22" spans="2:11" ht="14.25" customHeight="1" x14ac:dyDescent="0.3">
      <c r="B22" s="491">
        <f t="shared" si="1"/>
        <v>8711</v>
      </c>
      <c r="C22" s="527">
        <f>IF($J$15&lt;$K$5,'TAUX NEUTRE JANVIER  '!C22,'TAUX NEUTRE MAI '!C22)</f>
        <v>12091</v>
      </c>
      <c r="D22" s="436">
        <v>0.24</v>
      </c>
      <c r="E22" s="436">
        <f t="shared" si="0"/>
        <v>0</v>
      </c>
    </row>
    <row r="23" spans="2:11" ht="14.25" customHeight="1" x14ac:dyDescent="0.3">
      <c r="B23" s="491">
        <f t="shared" si="1"/>
        <v>12091</v>
      </c>
      <c r="C23" s="527">
        <f>IF($J$15&lt;$K$5,'TAUX NEUTRE JANVIER  '!C23,'TAUX NEUTRE MAI '!C23)</f>
        <v>16376</v>
      </c>
      <c r="D23" s="436">
        <v>0.28000000000000003</v>
      </c>
      <c r="E23" s="436">
        <f t="shared" si="0"/>
        <v>0</v>
      </c>
    </row>
    <row r="24" spans="2:11" ht="14.25" customHeight="1" x14ac:dyDescent="0.3">
      <c r="B24" s="491">
        <f t="shared" si="1"/>
        <v>16376</v>
      </c>
      <c r="C24" s="527">
        <f>IF($J$15&lt;$K$5,'TAUX NEUTRE JANVIER  '!C24,'TAUX NEUTRE MAI '!C24)</f>
        <v>25706</v>
      </c>
      <c r="D24" s="436">
        <v>0.33</v>
      </c>
      <c r="E24" s="436">
        <f t="shared" si="0"/>
        <v>0</v>
      </c>
    </row>
    <row r="25" spans="2:11" ht="14.25" customHeight="1" x14ac:dyDescent="0.3">
      <c r="B25" s="491">
        <f t="shared" si="1"/>
        <v>25706</v>
      </c>
      <c r="C25" s="527">
        <f>IF($J$15&lt;$K$5,'TAUX NEUTRE JANVIER  '!C25,'TAUX NEUTRE MAI '!C25)</f>
        <v>55062</v>
      </c>
      <c r="D25" s="436">
        <v>0.38</v>
      </c>
      <c r="E25" s="436">
        <f t="shared" si="0"/>
        <v>0</v>
      </c>
    </row>
    <row r="26" spans="2:11" ht="14.25" customHeight="1" x14ac:dyDescent="0.3">
      <c r="B26" s="491">
        <f t="shared" si="1"/>
        <v>55062</v>
      </c>
      <c r="C26" s="527">
        <f>IF($J$15&lt;$K$5,'TAUX NEUTRE JANVIER  '!C26,'TAUX NEUTRE MAI '!C26)</f>
        <v>0</v>
      </c>
      <c r="D26" s="436">
        <v>0.43</v>
      </c>
      <c r="E26" s="436">
        <f t="shared" si="0"/>
        <v>0</v>
      </c>
    </row>
    <row r="27" spans="2:11" ht="14.25" customHeight="1" x14ac:dyDescent="0.3">
      <c r="B27" s="189"/>
      <c r="E27" s="194">
        <f>SUM(E7:E26)</f>
        <v>0</v>
      </c>
    </row>
    <row r="28" spans="2:11" ht="18" customHeight="1" x14ac:dyDescent="0.3"/>
    <row r="29" spans="2:11" ht="14.25" hidden="1" customHeight="1" x14ac:dyDescent="0.3">
      <c r="J29" s="533"/>
      <c r="K29" s="533"/>
    </row>
    <row r="30" spans="2:11" ht="14.25" hidden="1" customHeight="1" x14ac:dyDescent="0.3">
      <c r="B30" s="38" t="s">
        <v>105</v>
      </c>
      <c r="C30" s="38" t="s">
        <v>106</v>
      </c>
      <c r="D30" s="38" t="s">
        <v>107</v>
      </c>
      <c r="E30" s="38"/>
      <c r="K30" s="199"/>
    </row>
    <row r="31" spans="2:11" ht="14.25" hidden="1" customHeight="1" x14ac:dyDescent="0.3">
      <c r="B31" s="191">
        <v>0</v>
      </c>
      <c r="C31" s="191">
        <v>1440</v>
      </c>
      <c r="D31" s="191">
        <v>0</v>
      </c>
      <c r="E31" s="192">
        <f t="shared" ref="E31:E50" si="2" xml:space="preserve"> IF($G$34&gt;=B31,IF($G$34&lt;C31,D31,0),0)</f>
        <v>0</v>
      </c>
      <c r="K31" s="200"/>
    </row>
    <row r="32" spans="2:11" ht="14.25" hidden="1" customHeight="1" x14ac:dyDescent="0.3">
      <c r="B32" s="191">
        <f>C31</f>
        <v>1440</v>
      </c>
      <c r="C32" s="191">
        <v>1496</v>
      </c>
      <c r="D32" s="193">
        <v>5.0000000000000001E-3</v>
      </c>
      <c r="E32" s="194">
        <f t="shared" si="2"/>
        <v>0</v>
      </c>
      <c r="F32" s="201"/>
    </row>
    <row r="33" spans="2:7" ht="14.25" hidden="1" customHeight="1" x14ac:dyDescent="0.3">
      <c r="B33" s="191">
        <f t="shared" ref="B33:B50" si="3">C32</f>
        <v>1496</v>
      </c>
      <c r="C33" s="191">
        <v>1592</v>
      </c>
      <c r="D33" s="193">
        <v>1.2999999999999999E-2</v>
      </c>
      <c r="E33" s="194">
        <f t="shared" si="2"/>
        <v>0</v>
      </c>
      <c r="F33" s="201"/>
      <c r="G33" s="195" t="s">
        <v>205</v>
      </c>
    </row>
    <row r="34" spans="2:7" ht="14.25" hidden="1" customHeight="1" x14ac:dyDescent="0.3">
      <c r="B34" s="191">
        <f t="shared" si="3"/>
        <v>1592</v>
      </c>
      <c r="C34" s="191">
        <v>1699</v>
      </c>
      <c r="D34" s="194">
        <v>2.1000000000000001E-2</v>
      </c>
      <c r="E34" s="194">
        <f t="shared" si="2"/>
        <v>0</v>
      </c>
      <c r="F34" s="201"/>
      <c r="G34" s="196"/>
    </row>
    <row r="35" spans="2:7" ht="14.25" hidden="1" customHeight="1" x14ac:dyDescent="0.3">
      <c r="B35" s="191">
        <f t="shared" si="3"/>
        <v>1699</v>
      </c>
      <c r="C35" s="191">
        <v>1816</v>
      </c>
      <c r="D35" s="194">
        <v>2.9000000000000001E-2</v>
      </c>
      <c r="E35" s="194">
        <f t="shared" si="2"/>
        <v>0</v>
      </c>
      <c r="F35" s="201"/>
      <c r="G35" s="197"/>
    </row>
    <row r="36" spans="2:7" ht="14.25" hidden="1" customHeight="1" x14ac:dyDescent="0.3">
      <c r="B36" s="191">
        <f t="shared" si="3"/>
        <v>1816</v>
      </c>
      <c r="C36" s="191">
        <v>1913</v>
      </c>
      <c r="D36" s="194">
        <v>3.5000000000000003E-2</v>
      </c>
      <c r="E36" s="194">
        <f t="shared" si="2"/>
        <v>0</v>
      </c>
      <c r="F36" s="201"/>
    </row>
    <row r="37" spans="2:7" ht="14.25" hidden="1" customHeight="1" x14ac:dyDescent="0.3">
      <c r="B37" s="191">
        <f t="shared" si="3"/>
        <v>1913</v>
      </c>
      <c r="C37" s="191">
        <v>2040</v>
      </c>
      <c r="D37" s="194">
        <v>4.1000000000000002E-2</v>
      </c>
      <c r="E37" s="194">
        <f t="shared" si="2"/>
        <v>0</v>
      </c>
      <c r="F37" s="201"/>
    </row>
    <row r="38" spans="2:7" ht="14.25" hidden="1" customHeight="1" x14ac:dyDescent="0.3">
      <c r="B38" s="191">
        <f t="shared" si="3"/>
        <v>2040</v>
      </c>
      <c r="C38" s="191">
        <v>2414</v>
      </c>
      <c r="D38" s="194">
        <v>5.2999999999999999E-2</v>
      </c>
      <c r="E38" s="194">
        <f t="shared" si="2"/>
        <v>0</v>
      </c>
      <c r="F38" s="201"/>
    </row>
    <row r="39" spans="2:7" ht="14.25" hidden="1" customHeight="1" x14ac:dyDescent="0.3">
      <c r="B39" s="191">
        <f t="shared" si="3"/>
        <v>2414</v>
      </c>
      <c r="C39" s="191">
        <v>2763</v>
      </c>
      <c r="D39" s="194">
        <v>7.4999999999999997E-2</v>
      </c>
      <c r="E39" s="194">
        <f t="shared" si="2"/>
        <v>0</v>
      </c>
      <c r="F39" s="201"/>
    </row>
    <row r="40" spans="2:7" ht="14.25" hidden="1" customHeight="1" x14ac:dyDescent="0.3">
      <c r="B40" s="191">
        <f t="shared" si="3"/>
        <v>2763</v>
      </c>
      <c r="C40" s="191">
        <v>3147</v>
      </c>
      <c r="D40" s="194">
        <v>9.9000000000000005E-2</v>
      </c>
      <c r="E40" s="194">
        <f t="shared" si="2"/>
        <v>0</v>
      </c>
      <c r="F40" s="201"/>
    </row>
    <row r="41" spans="2:7" ht="14.25" hidden="1" customHeight="1" x14ac:dyDescent="0.3">
      <c r="B41" s="191">
        <f t="shared" si="3"/>
        <v>3147</v>
      </c>
      <c r="C41" s="191">
        <v>3543</v>
      </c>
      <c r="D41" s="194">
        <v>0.11899999999999999</v>
      </c>
      <c r="E41" s="194">
        <f t="shared" si="2"/>
        <v>0</v>
      </c>
      <c r="F41" s="201"/>
    </row>
    <row r="42" spans="2:7" ht="14.25" hidden="1" customHeight="1" x14ac:dyDescent="0.3">
      <c r="B42" s="191">
        <f t="shared" si="3"/>
        <v>3543</v>
      </c>
      <c r="C42" s="191">
        <v>4134</v>
      </c>
      <c r="D42" s="194">
        <v>0.13800000000000001</v>
      </c>
      <c r="E42" s="194">
        <f t="shared" si="2"/>
        <v>0</v>
      </c>
      <c r="F42" s="201"/>
    </row>
    <row r="43" spans="2:7" ht="14.25" hidden="1" customHeight="1" x14ac:dyDescent="0.3">
      <c r="B43" s="191">
        <f t="shared" si="3"/>
        <v>4134</v>
      </c>
      <c r="C43" s="191">
        <v>4956</v>
      </c>
      <c r="D43" s="194">
        <v>0.158</v>
      </c>
      <c r="E43" s="194">
        <f t="shared" si="2"/>
        <v>0</v>
      </c>
      <c r="F43" s="201"/>
    </row>
    <row r="44" spans="2:7" ht="14.25" hidden="1" customHeight="1" x14ac:dyDescent="0.3">
      <c r="B44" s="191">
        <f t="shared" si="3"/>
        <v>4956</v>
      </c>
      <c r="C44" s="191">
        <v>6202</v>
      </c>
      <c r="D44" s="194">
        <v>0.17899999999999999</v>
      </c>
      <c r="E44" s="194">
        <f t="shared" si="2"/>
        <v>0</v>
      </c>
      <c r="F44" s="201"/>
    </row>
    <row r="45" spans="2:7" ht="14.25" hidden="1" customHeight="1" x14ac:dyDescent="0.3">
      <c r="B45" s="191">
        <f t="shared" si="3"/>
        <v>6202</v>
      </c>
      <c r="C45" s="191">
        <v>7747</v>
      </c>
      <c r="D45" s="194">
        <v>0.2</v>
      </c>
      <c r="E45" s="194">
        <f t="shared" si="2"/>
        <v>0</v>
      </c>
      <c r="F45" s="201"/>
    </row>
    <row r="46" spans="2:7" ht="14.25" hidden="1" customHeight="1" x14ac:dyDescent="0.3">
      <c r="B46" s="191">
        <f t="shared" si="3"/>
        <v>7747</v>
      </c>
      <c r="C46" s="191">
        <v>10752</v>
      </c>
      <c r="D46" s="194">
        <v>0.24</v>
      </c>
      <c r="E46" s="194">
        <f t="shared" si="2"/>
        <v>0</v>
      </c>
      <c r="F46" s="201"/>
    </row>
    <row r="47" spans="2:7" ht="14.25" hidden="1" customHeight="1" x14ac:dyDescent="0.3">
      <c r="B47" s="191">
        <f t="shared" si="3"/>
        <v>10752</v>
      </c>
      <c r="C47" s="191">
        <v>14563</v>
      </c>
      <c r="D47" s="194">
        <v>0.28000000000000003</v>
      </c>
      <c r="E47" s="194">
        <f t="shared" si="2"/>
        <v>0</v>
      </c>
      <c r="F47" s="201"/>
    </row>
    <row r="48" spans="2:7" ht="14.25" hidden="1" customHeight="1" x14ac:dyDescent="0.3">
      <c r="B48" s="191">
        <f t="shared" si="3"/>
        <v>14563</v>
      </c>
      <c r="C48" s="191">
        <v>22860</v>
      </c>
      <c r="D48" s="194">
        <v>0.33</v>
      </c>
      <c r="E48" s="194">
        <f t="shared" si="2"/>
        <v>0</v>
      </c>
      <c r="F48" s="201"/>
    </row>
    <row r="49" spans="2:6" ht="14.25" hidden="1" customHeight="1" x14ac:dyDescent="0.3">
      <c r="B49" s="191">
        <f t="shared" si="3"/>
        <v>22860</v>
      </c>
      <c r="C49" s="191">
        <v>48967</v>
      </c>
      <c r="D49" s="194">
        <v>0.38</v>
      </c>
      <c r="E49" s="194">
        <f t="shared" si="2"/>
        <v>0</v>
      </c>
      <c r="F49" s="201"/>
    </row>
    <row r="50" spans="2:6" ht="14.25" hidden="1" customHeight="1" x14ac:dyDescent="0.3">
      <c r="B50" s="191">
        <f t="shared" si="3"/>
        <v>48967</v>
      </c>
      <c r="C50" s="198">
        <v>99999999999</v>
      </c>
      <c r="D50" s="194">
        <v>0.43</v>
      </c>
      <c r="E50" s="194">
        <f t="shared" si="2"/>
        <v>0</v>
      </c>
      <c r="F50" s="201"/>
    </row>
    <row r="51" spans="2:6" ht="14.25" hidden="1" customHeight="1" x14ac:dyDescent="0.3">
      <c r="B51" s="189"/>
      <c r="E51" s="194">
        <f>SUM(E31:E50)</f>
        <v>0</v>
      </c>
      <c r="F51" s="202"/>
    </row>
    <row r="52" spans="2:6" ht="15" hidden="1" customHeight="1" x14ac:dyDescent="0.3"/>
    <row r="53" spans="2:6" ht="15" hidden="1" customHeight="1" x14ac:dyDescent="0.3"/>
  </sheetData>
  <mergeCells count="3">
    <mergeCell ref="B1:H1"/>
    <mergeCell ref="G10:H10"/>
    <mergeCell ref="J29:K29"/>
  </mergeCells>
  <printOptions horizontalCentered="1" verticalCentered="1"/>
  <pageMargins left="0.70866141732283472" right="0.70866141732283472" top="0.74803149606299213" bottom="0.74803149606299213" header="0.31496062992125984" footer="0.31496062992125984"/>
  <pageSetup paperSize="9" scale="80" orientation="landscape" horizontalDpi="4294967293" verticalDpi="0"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8E78DC-7909-4F7D-8F8A-BCE5A4AD55E7}">
  <dimension ref="A1:M122"/>
  <sheetViews>
    <sheetView topLeftCell="A37" zoomScale="90" zoomScaleNormal="90" workbookViewId="0">
      <selection activeCell="G42" sqref="G42"/>
    </sheetView>
  </sheetViews>
  <sheetFormatPr baseColWidth="10" defaultColWidth="11.44140625" defaultRowHeight="15.6" x14ac:dyDescent="0.3"/>
  <cols>
    <col min="1" max="1" width="4.88671875" style="25" customWidth="1"/>
    <col min="2" max="2" width="2.44140625" style="25" customWidth="1"/>
    <col min="3" max="3" width="31.5546875" style="25" customWidth="1"/>
    <col min="4" max="4" width="29.5546875" style="25" customWidth="1"/>
    <col min="5" max="5" width="28.5546875" style="25" customWidth="1"/>
    <col min="6" max="6" width="5.109375" style="25" customWidth="1"/>
    <col min="7" max="7" width="33.33203125" style="185" customWidth="1"/>
    <col min="8" max="8" width="18.44140625" style="185" customWidth="1"/>
    <col min="9" max="10" width="11.44140625" style="25" hidden="1" customWidth="1"/>
    <col min="11" max="11" width="19.109375" style="25" hidden="1" customWidth="1"/>
    <col min="12" max="16384" width="11.44140625" style="25"/>
  </cols>
  <sheetData>
    <row r="1" spans="3:13" ht="12.75" customHeight="1" x14ac:dyDescent="0.3"/>
    <row r="2" spans="3:13" x14ac:dyDescent="0.3">
      <c r="C2" s="394" t="s">
        <v>323</v>
      </c>
    </row>
    <row r="3" spans="3:13" ht="12.75" customHeight="1" x14ac:dyDescent="0.3"/>
    <row r="4" spans="3:13" ht="21.75" customHeight="1" x14ac:dyDescent="0.3">
      <c r="C4" s="395" t="s">
        <v>324</v>
      </c>
      <c r="D4" s="433"/>
      <c r="E4" s="433"/>
      <c r="F4" s="433"/>
      <c r="G4" s="544" t="s">
        <v>470</v>
      </c>
      <c r="H4" s="544"/>
    </row>
    <row r="5" spans="3:13" ht="21.75" customHeight="1" x14ac:dyDescent="0.3">
      <c r="C5" s="396" t="s">
        <v>325</v>
      </c>
      <c r="G5" s="545" t="s">
        <v>471</v>
      </c>
      <c r="H5" s="545"/>
    </row>
    <row r="6" spans="3:13" ht="21.75" customHeight="1" x14ac:dyDescent="0.3">
      <c r="C6" s="396" t="s">
        <v>326</v>
      </c>
      <c r="G6" s="546">
        <v>4980785750020</v>
      </c>
      <c r="H6" s="546"/>
    </row>
    <row r="7" spans="3:13" ht="21.75" customHeight="1" x14ac:dyDescent="0.3">
      <c r="C7" s="396" t="s">
        <v>327</v>
      </c>
      <c r="G7" s="544" t="s">
        <v>472</v>
      </c>
      <c r="H7" s="544"/>
    </row>
    <row r="8" spans="3:13" ht="51.75" customHeight="1" x14ac:dyDescent="0.3">
      <c r="C8" s="396" t="s">
        <v>328</v>
      </c>
      <c r="G8" s="547" t="s">
        <v>312</v>
      </c>
      <c r="H8" s="548"/>
      <c r="I8" s="549"/>
    </row>
    <row r="9" spans="3:13" x14ac:dyDescent="0.3">
      <c r="C9" s="397" t="s">
        <v>329</v>
      </c>
      <c r="D9" s="434"/>
      <c r="E9" s="434"/>
      <c r="F9" s="434"/>
      <c r="G9" s="543">
        <v>40</v>
      </c>
      <c r="H9" s="543"/>
    </row>
    <row r="10" spans="3:13" x14ac:dyDescent="0.3">
      <c r="C10" s="534"/>
      <c r="D10" s="534"/>
      <c r="E10" s="534"/>
      <c r="F10" s="534"/>
      <c r="G10" s="534"/>
      <c r="H10" s="534"/>
    </row>
    <row r="11" spans="3:13" ht="28.5" customHeight="1" x14ac:dyDescent="0.3">
      <c r="C11" s="398"/>
      <c r="D11" s="399"/>
      <c r="E11" s="536" t="s">
        <v>60</v>
      </c>
      <c r="F11" s="536"/>
      <c r="G11" s="400" t="s">
        <v>88</v>
      </c>
      <c r="H11" s="400" t="s">
        <v>89</v>
      </c>
    </row>
    <row r="12" spans="3:13" ht="20.25" customHeight="1" x14ac:dyDescent="0.3">
      <c r="C12" s="535" t="s">
        <v>397</v>
      </c>
      <c r="D12" s="535"/>
      <c r="E12" s="537"/>
      <c r="F12" s="538"/>
      <c r="G12" s="469">
        <v>0.01</v>
      </c>
      <c r="H12" s="469">
        <v>0.02</v>
      </c>
      <c r="I12" s="403"/>
      <c r="J12" s="403"/>
      <c r="K12" s="403"/>
      <c r="L12" s="403"/>
      <c r="M12" s="403"/>
    </row>
    <row r="13" spans="3:13" ht="20.25" customHeight="1" x14ac:dyDescent="0.3">
      <c r="C13" s="535" t="s">
        <v>398</v>
      </c>
      <c r="D13" s="535"/>
      <c r="E13" s="535"/>
      <c r="F13" s="535"/>
      <c r="G13" s="469"/>
      <c r="H13" s="469">
        <v>0.02</v>
      </c>
      <c r="I13" s="403"/>
      <c r="J13" s="403"/>
      <c r="K13" s="403"/>
      <c r="L13" s="403"/>
      <c r="M13" s="403"/>
    </row>
    <row r="14" spans="3:13" ht="20.25" hidden="1" customHeight="1" x14ac:dyDescent="0.3">
      <c r="C14" s="535"/>
      <c r="D14" s="535"/>
      <c r="E14" s="535"/>
      <c r="F14" s="535"/>
      <c r="G14" s="469"/>
      <c r="H14" s="469"/>
      <c r="I14" s="403"/>
      <c r="J14" s="403"/>
      <c r="K14" s="403"/>
      <c r="L14" s="403"/>
      <c r="M14" s="403"/>
    </row>
    <row r="15" spans="3:13" ht="20.25" customHeight="1" x14ac:dyDescent="0.3">
      <c r="C15" s="535" t="s">
        <v>202</v>
      </c>
      <c r="D15" s="535"/>
      <c r="E15" s="535" t="s">
        <v>330</v>
      </c>
      <c r="F15" s="535"/>
      <c r="G15" s="504">
        <v>0.01</v>
      </c>
      <c r="H15" s="504">
        <v>0.02</v>
      </c>
      <c r="I15" s="403"/>
      <c r="J15" s="403"/>
      <c r="K15" s="403"/>
      <c r="L15" s="403"/>
      <c r="M15" s="403"/>
    </row>
    <row r="16" spans="3:13" ht="20.25" customHeight="1" x14ac:dyDescent="0.3">
      <c r="C16" s="535" t="s">
        <v>331</v>
      </c>
      <c r="D16" s="535"/>
      <c r="E16" s="535" t="s">
        <v>330</v>
      </c>
      <c r="F16" s="535"/>
      <c r="G16" s="505"/>
      <c r="H16" s="504">
        <v>0.02</v>
      </c>
      <c r="I16" s="403"/>
      <c r="J16" s="403"/>
      <c r="K16" s="403"/>
      <c r="L16" s="403"/>
      <c r="M16" s="403"/>
    </row>
    <row r="17" spans="3:13" ht="20.25" customHeight="1" x14ac:dyDescent="0.3">
      <c r="C17" s="535" t="s">
        <v>405</v>
      </c>
      <c r="D17" s="535"/>
      <c r="E17" s="535"/>
      <c r="F17" s="535"/>
      <c r="G17" s="503"/>
      <c r="H17" s="503"/>
      <c r="I17" s="403"/>
      <c r="J17" s="403"/>
      <c r="K17" s="403"/>
      <c r="L17" s="403"/>
      <c r="M17" s="403"/>
    </row>
    <row r="18" spans="3:13" ht="20.25" customHeight="1" x14ac:dyDescent="0.3">
      <c r="C18" s="535" t="s">
        <v>399</v>
      </c>
      <c r="D18" s="535"/>
      <c r="E18" s="535" t="s">
        <v>400</v>
      </c>
      <c r="F18" s="535"/>
      <c r="G18" s="503"/>
      <c r="H18" s="503"/>
      <c r="I18" s="403"/>
      <c r="J18" s="403"/>
      <c r="K18" s="403"/>
      <c r="L18" s="403"/>
      <c r="M18" s="403"/>
    </row>
    <row r="19" spans="3:13" ht="20.25" hidden="1" customHeight="1" x14ac:dyDescent="0.3">
      <c r="C19" s="535"/>
      <c r="D19" s="535"/>
      <c r="E19" s="535"/>
      <c r="F19" s="535"/>
      <c r="G19" s="402"/>
      <c r="H19" s="402"/>
      <c r="I19" s="403"/>
      <c r="J19" s="403"/>
      <c r="K19" s="403"/>
      <c r="L19" s="404" t="s">
        <v>332</v>
      </c>
      <c r="M19" s="403"/>
    </row>
    <row r="20" spans="3:13" ht="20.25" hidden="1" customHeight="1" x14ac:dyDescent="0.3">
      <c r="C20" s="535"/>
      <c r="D20" s="535"/>
      <c r="E20" s="537"/>
      <c r="F20" s="538"/>
      <c r="G20" s="402"/>
      <c r="H20" s="402">
        <v>1.4999999999999999E-2</v>
      </c>
      <c r="I20" s="403"/>
      <c r="J20" s="403"/>
      <c r="K20" s="403"/>
      <c r="L20" s="404"/>
      <c r="M20" s="403"/>
    </row>
    <row r="21" spans="3:13" ht="20.25" customHeight="1" x14ac:dyDescent="0.3">
      <c r="C21" s="535" t="s">
        <v>333</v>
      </c>
      <c r="D21" s="535"/>
      <c r="E21" s="535" t="s">
        <v>330</v>
      </c>
      <c r="F21" s="535"/>
      <c r="G21" s="402"/>
      <c r="H21" s="469">
        <v>1.2999999999999999E-2</v>
      </c>
      <c r="I21" s="403"/>
      <c r="J21" s="403"/>
      <c r="K21" s="403"/>
      <c r="L21" s="403"/>
      <c r="M21" s="403"/>
    </row>
    <row r="22" spans="3:13" ht="20.25" customHeight="1" x14ac:dyDescent="0.3">
      <c r="C22" s="535" t="s">
        <v>334</v>
      </c>
      <c r="D22" s="535"/>
      <c r="E22" s="535" t="s">
        <v>330</v>
      </c>
      <c r="F22" s="535"/>
      <c r="G22" s="402"/>
      <c r="H22" s="469">
        <v>5.0000000000000001E-3</v>
      </c>
      <c r="I22" s="403"/>
      <c r="J22" s="403"/>
      <c r="K22" s="403"/>
      <c r="L22" s="403"/>
      <c r="M22" s="403"/>
    </row>
    <row r="23" spans="3:13" ht="16.5" customHeight="1" x14ac:dyDescent="0.3">
      <c r="I23" s="403"/>
      <c r="J23" s="403"/>
      <c r="K23" s="403"/>
      <c r="L23" s="403"/>
      <c r="M23" s="403"/>
    </row>
    <row r="24" spans="3:13" x14ac:dyDescent="0.3">
      <c r="I24" s="403"/>
      <c r="J24" s="403"/>
      <c r="K24" s="403"/>
      <c r="L24" s="406"/>
      <c r="M24" s="403"/>
    </row>
    <row r="25" spans="3:13" x14ac:dyDescent="0.3">
      <c r="G25" s="405"/>
      <c r="H25" s="405"/>
      <c r="I25" s="403"/>
      <c r="J25" s="403"/>
      <c r="K25" s="403"/>
      <c r="L25" s="406"/>
      <c r="M25" s="403"/>
    </row>
    <row r="26" spans="3:13" x14ac:dyDescent="0.3">
      <c r="C26" s="395" t="s">
        <v>335</v>
      </c>
      <c r="D26" s="407"/>
      <c r="E26" s="393" t="s">
        <v>199</v>
      </c>
    </row>
    <row r="27" spans="3:13" x14ac:dyDescent="0.3">
      <c r="C27" s="396" t="s">
        <v>336</v>
      </c>
      <c r="D27" s="408"/>
      <c r="E27" s="465" t="s">
        <v>476</v>
      </c>
    </row>
    <row r="28" spans="3:13" x14ac:dyDescent="0.3">
      <c r="C28" s="396" t="s">
        <v>325</v>
      </c>
      <c r="D28" s="408"/>
      <c r="E28" s="506" t="s">
        <v>473</v>
      </c>
    </row>
    <row r="29" spans="3:13" x14ac:dyDescent="0.3">
      <c r="C29" s="396" t="s">
        <v>337</v>
      </c>
      <c r="D29" s="408"/>
      <c r="E29" s="465" t="s">
        <v>474</v>
      </c>
    </row>
    <row r="30" spans="3:13" x14ac:dyDescent="0.3">
      <c r="C30" s="396" t="s">
        <v>338</v>
      </c>
      <c r="D30" s="408"/>
      <c r="E30" s="465">
        <v>290</v>
      </c>
    </row>
    <row r="31" spans="3:13" x14ac:dyDescent="0.3">
      <c r="C31" s="396" t="s">
        <v>339</v>
      </c>
      <c r="D31" s="408"/>
      <c r="E31" s="507" t="s">
        <v>475</v>
      </c>
    </row>
    <row r="32" spans="3:13" x14ac:dyDescent="0.3">
      <c r="C32" s="396" t="s">
        <v>340</v>
      </c>
      <c r="D32" s="408"/>
      <c r="E32" s="465" t="s">
        <v>227</v>
      </c>
      <c r="G32" s="185" t="s">
        <v>484</v>
      </c>
    </row>
    <row r="33" spans="3:7" x14ac:dyDescent="0.3">
      <c r="C33" s="396" t="s">
        <v>341</v>
      </c>
      <c r="D33" s="408"/>
      <c r="E33" s="465">
        <v>2</v>
      </c>
      <c r="G33" s="185" t="s">
        <v>485</v>
      </c>
    </row>
    <row r="34" spans="3:7" x14ac:dyDescent="0.3">
      <c r="C34" s="397" t="s">
        <v>401</v>
      </c>
      <c r="D34" s="409"/>
      <c r="E34" s="49"/>
    </row>
    <row r="35" spans="3:7" hidden="1" x14ac:dyDescent="0.3"/>
    <row r="36" spans="3:7" x14ac:dyDescent="0.3">
      <c r="E36" s="403"/>
    </row>
    <row r="37" spans="3:7" ht="24" customHeight="1" x14ac:dyDescent="0.3">
      <c r="C37" s="540" t="s">
        <v>90</v>
      </c>
      <c r="D37" s="541"/>
      <c r="E37" s="393" t="s">
        <v>199</v>
      </c>
      <c r="F37" s="403"/>
    </row>
    <row r="38" spans="3:7" ht="24" customHeight="1" x14ac:dyDescent="0.3">
      <c r="C38" s="395" t="s">
        <v>342</v>
      </c>
      <c r="D38" s="407"/>
      <c r="E38" s="466">
        <v>45931</v>
      </c>
      <c r="F38" s="410"/>
    </row>
    <row r="39" spans="3:7" ht="24" customHeight="1" x14ac:dyDescent="0.3">
      <c r="C39" s="396" t="s">
        <v>343</v>
      </c>
      <c r="D39" s="408"/>
      <c r="E39" s="466">
        <v>45961</v>
      </c>
      <c r="F39" s="410"/>
    </row>
    <row r="40" spans="3:7" ht="24" customHeight="1" x14ac:dyDescent="0.3">
      <c r="C40" s="396" t="s">
        <v>344</v>
      </c>
      <c r="D40" s="408"/>
      <c r="E40" s="466">
        <v>45961</v>
      </c>
      <c r="F40" s="410"/>
    </row>
    <row r="41" spans="3:7" ht="24" customHeight="1" x14ac:dyDescent="0.3">
      <c r="C41" s="396" t="s">
        <v>322</v>
      </c>
      <c r="D41" s="408"/>
      <c r="E41" s="467">
        <v>1900</v>
      </c>
      <c r="F41" s="411"/>
    </row>
    <row r="42" spans="3:7" ht="24" customHeight="1" x14ac:dyDescent="0.3">
      <c r="C42" s="396" t="s">
        <v>321</v>
      </c>
      <c r="D42" s="408"/>
      <c r="E42" s="468">
        <v>151.66999999999999</v>
      </c>
      <c r="F42" s="411"/>
    </row>
    <row r="43" spans="3:7" ht="24" customHeight="1" x14ac:dyDescent="0.3">
      <c r="C43" s="396" t="s">
        <v>301</v>
      </c>
      <c r="D43" s="408"/>
      <c r="E43" s="468">
        <v>11.88</v>
      </c>
      <c r="F43" s="411"/>
    </row>
    <row r="44" spans="3:7" ht="24" customHeight="1" x14ac:dyDescent="0.3">
      <c r="C44" s="396" t="s">
        <v>345</v>
      </c>
      <c r="D44" s="408"/>
      <c r="E44" s="468">
        <v>3925</v>
      </c>
      <c r="F44" s="411"/>
    </row>
    <row r="45" spans="3:7" ht="19.5" customHeight="1" x14ac:dyDescent="0.3">
      <c r="C45" s="396" t="s">
        <v>402</v>
      </c>
      <c r="D45" s="408"/>
      <c r="E45" s="468"/>
      <c r="F45" s="411"/>
    </row>
    <row r="46" spans="3:7" ht="19.5" customHeight="1" x14ac:dyDescent="0.3">
      <c r="C46" s="396" t="s">
        <v>13</v>
      </c>
      <c r="D46" s="408"/>
      <c r="E46" s="468">
        <v>151.66999999999999</v>
      </c>
      <c r="F46" s="412"/>
    </row>
    <row r="47" spans="3:7" ht="19.5" customHeight="1" x14ac:dyDescent="0.3">
      <c r="C47" s="396" t="s">
        <v>346</v>
      </c>
      <c r="D47" s="408"/>
      <c r="E47" s="468"/>
      <c r="F47" s="412"/>
    </row>
    <row r="48" spans="3:7" ht="19.5" customHeight="1" x14ac:dyDescent="0.3">
      <c r="C48" s="396" t="s">
        <v>347</v>
      </c>
      <c r="D48" s="408"/>
      <c r="E48" s="468">
        <v>6</v>
      </c>
      <c r="F48" s="413"/>
    </row>
    <row r="49" spans="2:6" ht="19.5" customHeight="1" x14ac:dyDescent="0.3">
      <c r="C49" s="396" t="s">
        <v>348</v>
      </c>
      <c r="D49" s="408"/>
      <c r="E49" s="468">
        <v>6</v>
      </c>
      <c r="F49" s="413"/>
    </row>
    <row r="50" spans="2:6" ht="19.5" customHeight="1" x14ac:dyDescent="0.3">
      <c r="C50" s="396" t="s">
        <v>349</v>
      </c>
      <c r="D50" s="408"/>
      <c r="E50" s="468"/>
      <c r="F50" s="413"/>
    </row>
    <row r="51" spans="2:6" ht="19.5" customHeight="1" x14ac:dyDescent="0.3">
      <c r="C51" s="397" t="s">
        <v>403</v>
      </c>
      <c r="D51" s="409"/>
      <c r="E51" s="468"/>
      <c r="F51" s="413"/>
    </row>
    <row r="52" spans="2:6" ht="19.5" hidden="1" customHeight="1" x14ac:dyDescent="0.3">
      <c r="B52" s="394" t="s">
        <v>350</v>
      </c>
      <c r="E52" s="414">
        <v>211</v>
      </c>
    </row>
    <row r="53" spans="2:6" ht="24" hidden="1" customHeight="1" x14ac:dyDescent="0.3"/>
    <row r="54" spans="2:6" ht="24" hidden="1" customHeight="1" x14ac:dyDescent="0.3">
      <c r="C54" s="25" t="s">
        <v>351</v>
      </c>
    </row>
    <row r="55" spans="2:6" ht="24" hidden="1" customHeight="1" x14ac:dyDescent="0.3"/>
    <row r="56" spans="2:6" ht="24" hidden="1" customHeight="1" x14ac:dyDescent="0.3">
      <c r="D56" s="25" t="s">
        <v>352</v>
      </c>
    </row>
    <row r="57" spans="2:6" ht="24" hidden="1" customHeight="1" x14ac:dyDescent="0.3"/>
    <row r="58" spans="2:6" ht="24" hidden="1" customHeight="1" x14ac:dyDescent="0.3">
      <c r="D58" s="25" t="s">
        <v>353</v>
      </c>
    </row>
    <row r="59" spans="2:6" ht="24" hidden="1" customHeight="1" x14ac:dyDescent="0.3"/>
    <row r="60" spans="2:6" ht="24" hidden="1" customHeight="1" x14ac:dyDescent="0.3">
      <c r="C60" s="25" t="s">
        <v>354</v>
      </c>
    </row>
    <row r="61" spans="2:6" ht="24" hidden="1" customHeight="1" x14ac:dyDescent="0.3"/>
    <row r="62" spans="2:6" ht="24" hidden="1" customHeight="1" x14ac:dyDescent="0.3">
      <c r="D62" s="25" t="s">
        <v>355</v>
      </c>
    </row>
    <row r="63" spans="2:6" ht="24" hidden="1" customHeight="1" x14ac:dyDescent="0.3">
      <c r="D63" s="25" t="s">
        <v>356</v>
      </c>
    </row>
    <row r="64" spans="2:6" ht="24" hidden="1" customHeight="1" x14ac:dyDescent="0.3">
      <c r="D64" s="25" t="s">
        <v>357</v>
      </c>
    </row>
    <row r="65" spans="1:11" ht="24" hidden="1" customHeight="1" x14ac:dyDescent="0.3">
      <c r="D65" s="25" t="s">
        <v>358</v>
      </c>
    </row>
    <row r="66" spans="1:11" ht="24" hidden="1" customHeight="1" x14ac:dyDescent="0.3">
      <c r="D66" s="25" t="s">
        <v>359</v>
      </c>
    </row>
    <row r="67" spans="1:11" ht="24" hidden="1" customHeight="1" x14ac:dyDescent="0.3"/>
    <row r="68" spans="1:11" ht="24" hidden="1" customHeight="1" x14ac:dyDescent="0.3">
      <c r="C68" s="25" t="s">
        <v>360</v>
      </c>
    </row>
    <row r="69" spans="1:11" ht="24" hidden="1" customHeight="1" x14ac:dyDescent="0.3">
      <c r="C69" s="25" t="s">
        <v>361</v>
      </c>
    </row>
    <row r="70" spans="1:11" ht="24" hidden="1" customHeight="1" x14ac:dyDescent="0.3"/>
    <row r="71" spans="1:11" ht="24" hidden="1" customHeight="1" x14ac:dyDescent="0.3">
      <c r="D71" s="25" t="s">
        <v>362</v>
      </c>
    </row>
    <row r="72" spans="1:11" ht="24" hidden="1" customHeight="1" x14ac:dyDescent="0.3"/>
    <row r="73" spans="1:11" ht="24" hidden="1" customHeight="1" x14ac:dyDescent="0.3">
      <c r="C73" s="25" t="s">
        <v>363</v>
      </c>
    </row>
    <row r="74" spans="1:11" ht="24" hidden="1" customHeight="1" x14ac:dyDescent="0.3"/>
    <row r="75" spans="1:11" ht="24" hidden="1" customHeight="1" x14ac:dyDescent="0.3">
      <c r="E75" s="401" t="s">
        <v>60</v>
      </c>
      <c r="F75" s="401" t="s">
        <v>364</v>
      </c>
      <c r="G75" s="401" t="s">
        <v>93</v>
      </c>
      <c r="H75" s="401" t="s">
        <v>365</v>
      </c>
      <c r="I75" s="401" t="s">
        <v>87</v>
      </c>
    </row>
    <row r="76" spans="1:11" ht="24" hidden="1" customHeight="1" x14ac:dyDescent="0.3">
      <c r="B76" s="401" t="s">
        <v>366</v>
      </c>
      <c r="C76" s="539" t="s">
        <v>51</v>
      </c>
      <c r="D76" s="539"/>
      <c r="E76" s="415"/>
      <c r="F76" s="416">
        <v>6.8000000000000005E-2</v>
      </c>
      <c r="G76" s="415"/>
      <c r="H76" s="415"/>
      <c r="I76" s="415"/>
      <c r="J76" s="417"/>
      <c r="K76" s="417"/>
    </row>
    <row r="77" spans="1:11" ht="24" hidden="1" customHeight="1" x14ac:dyDescent="0.3">
      <c r="B77" s="401" t="s">
        <v>367</v>
      </c>
      <c r="C77" s="539" t="s">
        <v>52</v>
      </c>
      <c r="D77" s="539"/>
      <c r="E77" s="415"/>
      <c r="F77" s="416">
        <v>6.8000000000000005E-2</v>
      </c>
      <c r="G77" s="415"/>
      <c r="H77" s="415"/>
      <c r="I77" s="415"/>
      <c r="J77" s="417"/>
      <c r="K77" s="417"/>
    </row>
    <row r="78" spans="1:11" ht="24" hidden="1" customHeight="1" x14ac:dyDescent="0.3">
      <c r="B78" s="401" t="s">
        <v>368</v>
      </c>
      <c r="C78" s="539" t="s">
        <v>53</v>
      </c>
      <c r="D78" s="539"/>
      <c r="E78" s="415"/>
      <c r="F78" s="416">
        <v>2.9000000000000001E-2</v>
      </c>
      <c r="G78" s="415"/>
      <c r="H78" s="415"/>
      <c r="I78" s="415"/>
      <c r="J78" s="417"/>
      <c r="K78" s="417"/>
    </row>
    <row r="79" spans="1:11" ht="24" hidden="1" customHeight="1" x14ac:dyDescent="0.3">
      <c r="A79" s="542"/>
      <c r="B79" s="542"/>
      <c r="E79" s="415"/>
      <c r="F79" s="415"/>
      <c r="G79" s="415"/>
      <c r="H79" s="415"/>
      <c r="I79" s="418"/>
      <c r="J79" s="417"/>
      <c r="K79" s="417"/>
    </row>
    <row r="80" spans="1:11" ht="24" hidden="1" customHeight="1" x14ac:dyDescent="0.3">
      <c r="B80" s="401" t="s">
        <v>359</v>
      </c>
      <c r="C80" s="539" t="s">
        <v>54</v>
      </c>
      <c r="D80" s="539"/>
      <c r="E80" s="415"/>
      <c r="F80" s="419"/>
      <c r="G80" s="420"/>
      <c r="H80" s="421"/>
      <c r="I80" s="418"/>
      <c r="J80" s="417"/>
      <c r="K80" s="417"/>
    </row>
    <row r="81" spans="2:11" ht="24" hidden="1" customHeight="1" x14ac:dyDescent="0.3">
      <c r="B81" s="422"/>
      <c r="C81" s="423"/>
      <c r="D81" s="423"/>
      <c r="E81" s="424"/>
      <c r="F81" s="425"/>
      <c r="G81" s="426"/>
      <c r="H81" s="427"/>
      <c r="I81" s="428"/>
      <c r="J81" s="417"/>
      <c r="K81" s="417"/>
    </row>
    <row r="82" spans="2:11" ht="24" hidden="1" customHeight="1" x14ac:dyDescent="0.3">
      <c r="C82" s="25" t="s">
        <v>369</v>
      </c>
    </row>
    <row r="83" spans="2:11" ht="24" hidden="1" customHeight="1" x14ac:dyDescent="0.3"/>
    <row r="84" spans="2:11" ht="24" hidden="1" customHeight="1" x14ac:dyDescent="0.3">
      <c r="D84" s="25" t="s">
        <v>370</v>
      </c>
    </row>
    <row r="85" spans="2:11" ht="24" hidden="1" customHeight="1" x14ac:dyDescent="0.3"/>
    <row r="86" spans="2:11" ht="24" hidden="1" customHeight="1" x14ac:dyDescent="0.3">
      <c r="B86" s="25" t="s">
        <v>371</v>
      </c>
    </row>
    <row r="87" spans="2:11" ht="24" hidden="1" customHeight="1" x14ac:dyDescent="0.3"/>
    <row r="88" spans="2:11" ht="24" hidden="1" customHeight="1" x14ac:dyDescent="0.3">
      <c r="C88" s="25" t="s">
        <v>372</v>
      </c>
    </row>
    <row r="89" spans="2:11" ht="24" hidden="1" customHeight="1" x14ac:dyDescent="0.3"/>
    <row r="90" spans="2:11" ht="24" hidden="1" customHeight="1" x14ac:dyDescent="0.3">
      <c r="D90" s="25" t="s">
        <v>373</v>
      </c>
    </row>
    <row r="91" spans="2:11" ht="24" hidden="1" customHeight="1" x14ac:dyDescent="0.3">
      <c r="D91" s="25" t="s">
        <v>352</v>
      </c>
    </row>
    <row r="92" spans="2:11" ht="24" hidden="1" customHeight="1" x14ac:dyDescent="0.3">
      <c r="D92" s="25" t="s">
        <v>374</v>
      </c>
    </row>
    <row r="93" spans="2:11" ht="24" hidden="1" customHeight="1" x14ac:dyDescent="0.3">
      <c r="D93" s="25" t="s">
        <v>375</v>
      </c>
    </row>
    <row r="94" spans="2:11" ht="24" hidden="1" customHeight="1" x14ac:dyDescent="0.3">
      <c r="D94" s="25" t="s">
        <v>376</v>
      </c>
    </row>
    <row r="95" spans="2:11" ht="24" hidden="1" customHeight="1" x14ac:dyDescent="0.3"/>
    <row r="96" spans="2:11" ht="24" hidden="1" customHeight="1" x14ac:dyDescent="0.3">
      <c r="C96" s="25" t="s">
        <v>377</v>
      </c>
    </row>
    <row r="97" spans="2:5" ht="24" hidden="1" customHeight="1" x14ac:dyDescent="0.3"/>
    <row r="98" spans="2:5" ht="24" hidden="1" customHeight="1" x14ac:dyDescent="0.3">
      <c r="B98" s="394" t="s">
        <v>378</v>
      </c>
      <c r="C98" s="394"/>
    </row>
    <row r="99" spans="2:5" ht="24" hidden="1" customHeight="1" x14ac:dyDescent="0.3"/>
    <row r="100" spans="2:5" ht="24" hidden="1" customHeight="1" x14ac:dyDescent="0.3">
      <c r="C100" s="429" t="s">
        <v>379</v>
      </c>
    </row>
    <row r="101" spans="2:5" ht="24" hidden="1" customHeight="1" x14ac:dyDescent="0.3"/>
    <row r="102" spans="2:5" ht="24" hidden="1" customHeight="1" x14ac:dyDescent="0.3">
      <c r="C102" s="25" t="s">
        <v>380</v>
      </c>
    </row>
    <row r="103" spans="2:5" ht="24" hidden="1" customHeight="1" x14ac:dyDescent="0.3">
      <c r="C103" s="25" t="s">
        <v>381</v>
      </c>
    </row>
    <row r="104" spans="2:5" ht="24" hidden="1" customHeight="1" x14ac:dyDescent="0.3">
      <c r="C104" s="25" t="s">
        <v>382</v>
      </c>
    </row>
    <row r="105" spans="2:5" ht="24" hidden="1" customHeight="1" x14ac:dyDescent="0.3">
      <c r="C105" s="25" t="s">
        <v>383</v>
      </c>
    </row>
    <row r="106" spans="2:5" ht="24" hidden="1" customHeight="1" x14ac:dyDescent="0.3">
      <c r="C106" s="25" t="s">
        <v>384</v>
      </c>
    </row>
    <row r="107" spans="2:5" ht="24" hidden="1" customHeight="1" x14ac:dyDescent="0.3"/>
    <row r="108" spans="2:5" ht="24" hidden="1" customHeight="1" x14ac:dyDescent="0.3"/>
    <row r="109" spans="2:5" ht="24" hidden="1" customHeight="1" x14ac:dyDescent="0.3">
      <c r="B109" s="394" t="s">
        <v>385</v>
      </c>
    </row>
    <row r="110" spans="2:5" ht="24" hidden="1" customHeight="1" x14ac:dyDescent="0.3"/>
    <row r="111" spans="2:5" ht="24" hidden="1" customHeight="1" x14ac:dyDescent="0.3">
      <c r="C111" s="25" t="s">
        <v>386</v>
      </c>
    </row>
    <row r="112" spans="2:5" ht="24" hidden="1" customHeight="1" x14ac:dyDescent="0.3">
      <c r="D112" s="25" t="s">
        <v>387</v>
      </c>
      <c r="E112" s="430">
        <v>2332</v>
      </c>
    </row>
    <row r="113" spans="3:6" ht="24" hidden="1" customHeight="1" x14ac:dyDescent="0.3">
      <c r="D113" s="25" t="s">
        <v>388</v>
      </c>
      <c r="E113" s="430">
        <v>3062</v>
      </c>
    </row>
    <row r="114" spans="3:6" ht="24" hidden="1" customHeight="1" x14ac:dyDescent="0.3"/>
    <row r="115" spans="3:6" ht="24" hidden="1" customHeight="1" x14ac:dyDescent="0.3">
      <c r="C115" s="25" t="s">
        <v>389</v>
      </c>
      <c r="D115" s="25">
        <v>8.3000000000000007</v>
      </c>
    </row>
    <row r="116" spans="3:6" ht="24" hidden="1" customHeight="1" x14ac:dyDescent="0.3">
      <c r="D116" s="25" t="s">
        <v>390</v>
      </c>
    </row>
    <row r="117" spans="3:6" ht="24" hidden="1" customHeight="1" x14ac:dyDescent="0.3">
      <c r="D117" s="25" t="s">
        <v>391</v>
      </c>
      <c r="E117" s="430">
        <f>E30</f>
        <v>290</v>
      </c>
      <c r="F117" s="25">
        <f>E117*D115</f>
        <v>2407</v>
      </c>
    </row>
    <row r="118" spans="3:6" ht="24" hidden="1" customHeight="1" x14ac:dyDescent="0.3">
      <c r="D118" s="25" t="s">
        <v>392</v>
      </c>
      <c r="E118" s="430" t="e">
        <f>#REF!</f>
        <v>#REF!</v>
      </c>
      <c r="F118" s="25" t="e">
        <f>D115*E118</f>
        <v>#REF!</v>
      </c>
    </row>
    <row r="119" spans="3:6" ht="24" hidden="1" customHeight="1" x14ac:dyDescent="0.3"/>
    <row r="120" spans="3:6" ht="24" hidden="1" customHeight="1" x14ac:dyDescent="0.3">
      <c r="E120" s="25" t="s">
        <v>393</v>
      </c>
    </row>
    <row r="121" spans="3:6" ht="24" hidden="1" customHeight="1" x14ac:dyDescent="0.3"/>
    <row r="122" spans="3:6" ht="15.75" hidden="1" customHeight="1" x14ac:dyDescent="0.3"/>
  </sheetData>
  <mergeCells count="36">
    <mergeCell ref="G9:H9"/>
    <mergeCell ref="G4:H4"/>
    <mergeCell ref="G5:H5"/>
    <mergeCell ref="G6:H6"/>
    <mergeCell ref="G7:H7"/>
    <mergeCell ref="G8:I8"/>
    <mergeCell ref="A79:B79"/>
    <mergeCell ref="C19:D19"/>
    <mergeCell ref="E19:F19"/>
    <mergeCell ref="C20:D20"/>
    <mergeCell ref="E20:F20"/>
    <mergeCell ref="C21:D21"/>
    <mergeCell ref="E21:F21"/>
    <mergeCell ref="C16:D16"/>
    <mergeCell ref="E16:F16"/>
    <mergeCell ref="C80:D80"/>
    <mergeCell ref="C77:D77"/>
    <mergeCell ref="C78:D78"/>
    <mergeCell ref="C17:D17"/>
    <mergeCell ref="E17:F17"/>
    <mergeCell ref="C18:D18"/>
    <mergeCell ref="E18:F18"/>
    <mergeCell ref="C22:D22"/>
    <mergeCell ref="E22:F22"/>
    <mergeCell ref="C37:D37"/>
    <mergeCell ref="C76:D76"/>
    <mergeCell ref="C10:H10"/>
    <mergeCell ref="C14:D14"/>
    <mergeCell ref="E14:F14"/>
    <mergeCell ref="C15:D15"/>
    <mergeCell ref="E15:F15"/>
    <mergeCell ref="E11:F11"/>
    <mergeCell ref="C12:D12"/>
    <mergeCell ref="E12:F12"/>
    <mergeCell ref="C13:D13"/>
    <mergeCell ref="E13:F13"/>
  </mergeCells>
  <pageMargins left="0.70866141732283472" right="0.70866141732283472" top="0.74803149606299213" bottom="0.74803149606299213" header="0.31496062992125984" footer="0.31496062992125984"/>
  <pageSetup paperSize="9" scale="80" orientation="landscape" horizontalDpi="4294967293" verticalDpi="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354ED-35CD-42AF-9553-775348191BD6}">
  <dimension ref="A1:R135"/>
  <sheetViews>
    <sheetView tabSelected="1" topLeftCell="A69" zoomScale="140" zoomScaleNormal="140" workbookViewId="0">
      <selection activeCell="G71" sqref="G71"/>
    </sheetView>
  </sheetViews>
  <sheetFormatPr baseColWidth="10" defaultColWidth="11.44140625" defaultRowHeight="13.8" x14ac:dyDescent="0.25"/>
  <cols>
    <col min="1" max="1" width="17.109375" style="229" customWidth="1"/>
    <col min="2" max="2" width="22.33203125" style="229" customWidth="1"/>
    <col min="3" max="3" width="11" style="226" customWidth="1"/>
    <col min="4" max="4" width="9.109375" style="227" customWidth="1"/>
    <col min="5" max="5" width="9" style="227" customWidth="1"/>
    <col min="6" max="6" width="12.33203125" style="226" customWidth="1"/>
    <col min="7" max="7" width="12.44140625" style="226" customWidth="1"/>
    <col min="8" max="8" width="8.44140625" style="24" customWidth="1"/>
    <col min="9" max="9" width="8.109375" style="24" bestFit="1" customWidth="1"/>
    <col min="10" max="10" width="11.109375" style="24" customWidth="1"/>
    <col min="11" max="11" width="12.88671875" style="24" hidden="1" customWidth="1"/>
    <col min="12" max="12" width="0.44140625" style="24" customWidth="1"/>
    <col min="13" max="13" width="12.88671875" style="24" customWidth="1"/>
    <col min="14" max="16384" width="11.44140625" style="24"/>
  </cols>
  <sheetData>
    <row r="1" spans="1:10" ht="15.75" customHeight="1" x14ac:dyDescent="0.3">
      <c r="A1" s="634" t="s">
        <v>417</v>
      </c>
      <c r="B1" s="634"/>
      <c r="C1" s="634"/>
      <c r="D1" s="634"/>
      <c r="E1" s="634"/>
      <c r="F1" s="634"/>
      <c r="G1" s="634"/>
      <c r="H1" s="635"/>
      <c r="I1" s="635"/>
      <c r="J1" s="635"/>
    </row>
    <row r="2" spans="1:10" ht="15.75" customHeight="1" x14ac:dyDescent="0.3">
      <c r="A2" s="636" t="s">
        <v>0</v>
      </c>
      <c r="B2" s="637"/>
      <c r="C2" s="637"/>
      <c r="D2" s="638"/>
      <c r="E2" s="312"/>
      <c r="F2" s="639" t="s">
        <v>1</v>
      </c>
      <c r="G2" s="640"/>
      <c r="H2" s="640"/>
      <c r="I2" s="640"/>
      <c r="J2" s="641"/>
    </row>
    <row r="3" spans="1:10" ht="15.75" customHeight="1" x14ac:dyDescent="0.25">
      <c r="A3" s="313" t="s">
        <v>2</v>
      </c>
      <c r="B3" s="642" t="str">
        <f>'MASQUE DE SAISIE '!G4</f>
        <v xml:space="preserve">Pharmacie L et D  de GAALON </v>
      </c>
      <c r="C3" s="643"/>
      <c r="D3" s="644"/>
      <c r="E3" s="314"/>
      <c r="F3" s="315" t="s">
        <v>2</v>
      </c>
      <c r="G3" s="629" t="str">
        <f>'MASQUE DE SAISIE '!E26</f>
        <v xml:space="preserve">MARTINO </v>
      </c>
      <c r="H3" s="629"/>
      <c r="I3" s="629"/>
      <c r="J3" s="629"/>
    </row>
    <row r="4" spans="1:10" ht="15.75" customHeight="1" x14ac:dyDescent="0.25">
      <c r="A4" s="313" t="s">
        <v>3</v>
      </c>
      <c r="B4" s="642" t="str">
        <f>'MASQUE DE SAISIE '!G5</f>
        <v xml:space="preserve">29 Rue Clémenceau  22430 Erquy </v>
      </c>
      <c r="C4" s="643"/>
      <c r="D4" s="644"/>
      <c r="E4" s="314"/>
      <c r="F4" s="315" t="s">
        <v>4</v>
      </c>
      <c r="G4" s="629" t="str">
        <f>'MASQUE DE SAISIE '!E27</f>
        <v>Rassa</v>
      </c>
      <c r="H4" s="629"/>
      <c r="I4" s="629"/>
      <c r="J4" s="629"/>
    </row>
    <row r="5" spans="1:10" ht="15.75" customHeight="1" x14ac:dyDescent="0.25">
      <c r="A5" s="313"/>
      <c r="B5" s="626"/>
      <c r="C5" s="627"/>
      <c r="D5" s="628"/>
      <c r="E5" s="314"/>
      <c r="F5" s="315" t="s">
        <v>5</v>
      </c>
      <c r="G5" s="629" t="str">
        <f>'MASQUE DE SAISIE '!E29</f>
        <v>Préparatrice en Pharmacie</v>
      </c>
      <c r="H5" s="629"/>
      <c r="I5" s="629"/>
      <c r="J5" s="629"/>
    </row>
    <row r="6" spans="1:10" ht="15.75" customHeight="1" x14ac:dyDescent="0.25">
      <c r="A6" s="313" t="s">
        <v>6</v>
      </c>
      <c r="B6" s="630">
        <f>'MASQUE DE SAISIE '!G6</f>
        <v>4980785750020</v>
      </c>
      <c r="C6" s="631"/>
      <c r="D6" s="632"/>
      <c r="E6" s="316"/>
      <c r="F6" s="315" t="s">
        <v>7</v>
      </c>
      <c r="G6" s="629">
        <f>'MASQUE DE SAISIE '!E30</f>
        <v>290</v>
      </c>
      <c r="H6" s="629"/>
      <c r="I6" s="629"/>
      <c r="J6" s="629"/>
    </row>
    <row r="7" spans="1:10" ht="15.75" customHeight="1" x14ac:dyDescent="0.25">
      <c r="A7" s="313" t="s">
        <v>8</v>
      </c>
      <c r="B7" s="626" t="str">
        <f>'MASQUE DE SAISIE '!G7</f>
        <v>4773Z</v>
      </c>
      <c r="C7" s="627"/>
      <c r="D7" s="628"/>
      <c r="E7" s="314"/>
      <c r="F7" s="315" t="s">
        <v>9</v>
      </c>
      <c r="G7" s="633" t="str">
        <f>'MASQUE DE SAISIE '!E31</f>
        <v>2.96.02.297.820. 957</v>
      </c>
      <c r="H7" s="633"/>
      <c r="I7" s="633"/>
      <c r="J7" s="633"/>
    </row>
    <row r="8" spans="1:10" ht="15.75" customHeight="1" x14ac:dyDescent="0.25">
      <c r="A8" s="313" t="s">
        <v>10</v>
      </c>
      <c r="B8" s="630"/>
      <c r="C8" s="631"/>
      <c r="D8" s="632"/>
      <c r="E8" s="316"/>
      <c r="F8" s="317" t="s">
        <v>3</v>
      </c>
      <c r="G8" s="629" t="str">
        <f>'MASQUE DE SAISIE '!E28</f>
        <v xml:space="preserve">2 Avenue du Val Fleuri 22520 Binic </v>
      </c>
      <c r="H8" s="629"/>
      <c r="I8" s="629"/>
      <c r="J8" s="629"/>
    </row>
    <row r="9" spans="1:10" ht="15.75" customHeight="1" x14ac:dyDescent="0.25">
      <c r="A9" s="313" t="s">
        <v>11</v>
      </c>
      <c r="B9" s="488">
        <f>'MASQUE DE SAISIE '!G9</f>
        <v>40</v>
      </c>
      <c r="C9" s="648" t="str">
        <f>IF('MASQUE DE SAISIE '!E34 = "","",'MASQUE DE SAISIE '!E34 )</f>
        <v/>
      </c>
      <c r="D9" s="628"/>
      <c r="E9" s="314"/>
      <c r="F9" s="646" t="s">
        <v>12</v>
      </c>
      <c r="G9" s="647"/>
      <c r="H9" s="319"/>
      <c r="I9" s="320">
        <f>'MASQUE DE SAISIE '!E33</f>
        <v>2</v>
      </c>
      <c r="J9" s="320" t="str">
        <f>'MASQUE DE SAISIE '!E32</f>
        <v>C</v>
      </c>
    </row>
    <row r="10" spans="1:10" ht="15.75" customHeight="1" x14ac:dyDescent="0.25">
      <c r="A10" s="322" t="s">
        <v>13</v>
      </c>
      <c r="B10" s="328">
        <f>'MASQUE DE SAISIE '!E46</f>
        <v>151.66999999999999</v>
      </c>
      <c r="C10" s="320" t="s">
        <v>14</v>
      </c>
      <c r="D10" s="432">
        <f>'MASQUE DE SAISIE '!E43</f>
        <v>11.88</v>
      </c>
      <c r="E10" s="314"/>
      <c r="F10" s="626" t="s">
        <v>239</v>
      </c>
      <c r="G10" s="628"/>
      <c r="H10" s="373">
        <f>'MASQUE DE SAISIE '!E38</f>
        <v>45931</v>
      </c>
      <c r="I10" s="324" t="s">
        <v>15</v>
      </c>
      <c r="J10" s="373">
        <f>'MASQUE DE SAISIE '!E39</f>
        <v>45961</v>
      </c>
    </row>
    <row r="11" spans="1:10" ht="30" customHeight="1" x14ac:dyDescent="0.25">
      <c r="A11" s="325"/>
      <c r="B11" s="616" t="s">
        <v>312</v>
      </c>
      <c r="C11" s="617"/>
      <c r="D11" s="618"/>
      <c r="E11" s="326"/>
      <c r="F11" s="325" t="s">
        <v>16</v>
      </c>
      <c r="G11" s="378">
        <f>'MASQUE DE SAISIE '!E39</f>
        <v>45961</v>
      </c>
      <c r="H11" s="64"/>
      <c r="I11" s="64"/>
      <c r="J11" s="379"/>
    </row>
    <row r="12" spans="1:10" ht="9.75" customHeight="1" x14ac:dyDescent="0.25">
      <c r="A12" s="619"/>
      <c r="B12" s="620"/>
      <c r="C12" s="620"/>
      <c r="D12" s="620"/>
      <c r="E12" s="620"/>
      <c r="F12" s="620"/>
      <c r="G12" s="620"/>
      <c r="H12" s="620"/>
      <c r="I12" s="620"/>
      <c r="J12" s="620"/>
    </row>
    <row r="13" spans="1:10" ht="16.2" customHeight="1" x14ac:dyDescent="0.25">
      <c r="A13" s="621" t="s">
        <v>17</v>
      </c>
      <c r="B13" s="622"/>
      <c r="C13" s="622"/>
      <c r="D13" s="622"/>
      <c r="E13" s="622"/>
      <c r="F13" s="623"/>
      <c r="G13" s="328">
        <f>+'MASQUE DE SAISIE '!E42</f>
        <v>151.66999999999999</v>
      </c>
      <c r="H13" s="325" t="s">
        <v>18</v>
      </c>
      <c r="I13" s="329">
        <f>J13/G13</f>
        <v>12.527197204457046</v>
      </c>
      <c r="J13" s="330">
        <f>'MASQUE DE SAISIE '!E41</f>
        <v>1900</v>
      </c>
    </row>
    <row r="14" spans="1:10" ht="16.2" customHeight="1" x14ac:dyDescent="0.25">
      <c r="A14" s="621" t="s">
        <v>487</v>
      </c>
      <c r="B14" s="622"/>
      <c r="C14" s="622"/>
      <c r="D14" s="622"/>
      <c r="E14" s="622"/>
      <c r="F14" s="623"/>
      <c r="G14" s="325"/>
      <c r="H14" s="325"/>
      <c r="I14" s="329"/>
      <c r="J14" s="330"/>
    </row>
    <row r="15" spans="1:10" ht="16.2" hidden="1" customHeight="1" x14ac:dyDescent="0.25">
      <c r="A15" s="621" t="s">
        <v>413</v>
      </c>
      <c r="B15" s="622"/>
      <c r="C15" s="622"/>
      <c r="D15" s="622"/>
      <c r="E15" s="622"/>
      <c r="F15" s="623"/>
      <c r="G15" s="331"/>
      <c r="H15" s="332"/>
      <c r="I15" s="329"/>
      <c r="J15" s="330"/>
    </row>
    <row r="16" spans="1:10" ht="16.2" hidden="1" customHeight="1" x14ac:dyDescent="0.25">
      <c r="A16" s="621" t="s">
        <v>414</v>
      </c>
      <c r="B16" s="622"/>
      <c r="C16" s="622"/>
      <c r="D16" s="622"/>
      <c r="E16" s="622"/>
      <c r="F16" s="623"/>
      <c r="G16" s="331"/>
      <c r="H16" s="332"/>
      <c r="I16" s="329"/>
      <c r="J16" s="330"/>
    </row>
    <row r="17" spans="1:10" ht="16.2" hidden="1" customHeight="1" x14ac:dyDescent="0.25">
      <c r="A17" s="621" t="s">
        <v>19</v>
      </c>
      <c r="B17" s="622"/>
      <c r="C17" s="622"/>
      <c r="D17" s="622"/>
      <c r="E17" s="622"/>
      <c r="F17" s="623"/>
      <c r="G17" s="331"/>
      <c r="H17" s="332" t="s">
        <v>18</v>
      </c>
      <c r="I17" s="329"/>
      <c r="J17" s="330"/>
    </row>
    <row r="18" spans="1:10" ht="16.2" hidden="1" customHeight="1" x14ac:dyDescent="0.25">
      <c r="A18" s="621" t="s">
        <v>241</v>
      </c>
      <c r="B18" s="622"/>
      <c r="C18" s="622"/>
      <c r="D18" s="622"/>
      <c r="E18" s="622"/>
      <c r="F18" s="623"/>
      <c r="G18" s="331"/>
      <c r="H18" s="332" t="s">
        <v>18</v>
      </c>
      <c r="I18" s="329"/>
      <c r="J18" s="330">
        <f t="shared" ref="J18:J21" si="0">ROUND(G18*I18,2)</f>
        <v>0</v>
      </c>
    </row>
    <row r="19" spans="1:10" ht="16.2" hidden="1" customHeight="1" x14ac:dyDescent="0.25">
      <c r="A19" s="621" t="s">
        <v>242</v>
      </c>
      <c r="B19" s="622"/>
      <c r="C19" s="622"/>
      <c r="D19" s="622"/>
      <c r="E19" s="622"/>
      <c r="F19" s="623"/>
      <c r="G19" s="331"/>
      <c r="H19" s="332" t="s">
        <v>18</v>
      </c>
      <c r="I19" s="329"/>
      <c r="J19" s="330">
        <f t="shared" si="0"/>
        <v>0</v>
      </c>
    </row>
    <row r="20" spans="1:10" ht="16.2" hidden="1" customHeight="1" x14ac:dyDescent="0.25">
      <c r="A20" s="621" t="s">
        <v>243</v>
      </c>
      <c r="B20" s="622"/>
      <c r="C20" s="622"/>
      <c r="D20" s="622"/>
      <c r="E20" s="622"/>
      <c r="F20" s="623"/>
      <c r="G20" s="331"/>
      <c r="H20" s="332" t="s">
        <v>18</v>
      </c>
      <c r="I20" s="329"/>
      <c r="J20" s="330">
        <f t="shared" si="0"/>
        <v>0</v>
      </c>
    </row>
    <row r="21" spans="1:10" ht="16.2" hidden="1" customHeight="1" x14ac:dyDescent="0.25">
      <c r="A21" s="621" t="s">
        <v>244</v>
      </c>
      <c r="B21" s="622"/>
      <c r="C21" s="622"/>
      <c r="D21" s="622"/>
      <c r="E21" s="622"/>
      <c r="F21" s="623"/>
      <c r="G21" s="462">
        <f>'MASQUE DE SAISIE '!E45</f>
        <v>0</v>
      </c>
      <c r="H21" s="332" t="s">
        <v>18</v>
      </c>
      <c r="I21" s="329">
        <f>ROUND(((J13+J16)*1.25/G13),6)</f>
        <v>15.658996999999999</v>
      </c>
      <c r="J21" s="330">
        <f t="shared" si="0"/>
        <v>0</v>
      </c>
    </row>
    <row r="22" spans="1:10" ht="16.2" hidden="1" customHeight="1" x14ac:dyDescent="0.25">
      <c r="A22" s="621" t="s">
        <v>245</v>
      </c>
      <c r="B22" s="622"/>
      <c r="C22" s="622"/>
      <c r="D22" s="622"/>
      <c r="E22" s="622"/>
      <c r="F22" s="623"/>
      <c r="G22" s="331"/>
      <c r="H22" s="332" t="s">
        <v>20</v>
      </c>
      <c r="I22" s="325"/>
      <c r="J22" s="330"/>
    </row>
    <row r="23" spans="1:10" ht="16.2" hidden="1" customHeight="1" x14ac:dyDescent="0.25">
      <c r="A23" s="621" t="s">
        <v>457</v>
      </c>
      <c r="B23" s="622"/>
      <c r="C23" s="622"/>
      <c r="D23" s="622"/>
      <c r="E23" s="622"/>
      <c r="F23" s="623"/>
      <c r="G23" s="327"/>
      <c r="H23" s="333"/>
      <c r="I23" s="321"/>
      <c r="J23" s="334"/>
    </row>
    <row r="24" spans="1:10" ht="16.2" hidden="1" customHeight="1" x14ac:dyDescent="0.25">
      <c r="A24" s="621" t="s">
        <v>21</v>
      </c>
      <c r="B24" s="622"/>
      <c r="C24" s="622"/>
      <c r="D24" s="622"/>
      <c r="E24" s="622"/>
      <c r="F24" s="623"/>
      <c r="G24" s="327"/>
      <c r="H24" s="333"/>
      <c r="I24" s="321"/>
      <c r="J24" s="334"/>
    </row>
    <row r="25" spans="1:10" ht="16.2" hidden="1" customHeight="1" x14ac:dyDescent="0.25">
      <c r="A25" s="621" t="s">
        <v>22</v>
      </c>
      <c r="B25" s="622"/>
      <c r="C25" s="622"/>
      <c r="D25" s="622"/>
      <c r="E25" s="622"/>
      <c r="F25" s="623"/>
      <c r="G25" s="327"/>
      <c r="H25" s="333"/>
      <c r="I25" s="321"/>
      <c r="J25" s="334"/>
    </row>
    <row r="26" spans="1:10" ht="16.2" hidden="1" customHeight="1" x14ac:dyDescent="0.25">
      <c r="A26" s="608" t="s">
        <v>23</v>
      </c>
      <c r="B26" s="609"/>
      <c r="C26" s="609"/>
      <c r="D26" s="609"/>
      <c r="E26" s="609"/>
      <c r="F26" s="610"/>
      <c r="G26" s="327"/>
      <c r="H26" s="333"/>
      <c r="I26" s="321"/>
      <c r="J26" s="334"/>
    </row>
    <row r="27" spans="1:10" ht="16.2" hidden="1" customHeight="1" x14ac:dyDescent="0.25">
      <c r="A27" s="608" t="s">
        <v>24</v>
      </c>
      <c r="B27" s="609"/>
      <c r="C27" s="609"/>
      <c r="D27" s="609"/>
      <c r="E27" s="609"/>
      <c r="F27" s="610"/>
      <c r="G27" s="327"/>
      <c r="H27" s="333"/>
      <c r="I27" s="321"/>
      <c r="J27" s="334"/>
    </row>
    <row r="28" spans="1:10" ht="16.2" hidden="1" customHeight="1" x14ac:dyDescent="0.25">
      <c r="A28" s="608" t="s">
        <v>25</v>
      </c>
      <c r="B28" s="609"/>
      <c r="C28" s="609"/>
      <c r="D28" s="609"/>
      <c r="E28" s="609"/>
      <c r="F28" s="610"/>
      <c r="G28" s="327"/>
      <c r="H28" s="333"/>
      <c r="I28" s="321"/>
      <c r="J28" s="334"/>
    </row>
    <row r="29" spans="1:10" ht="16.2" hidden="1" customHeight="1" x14ac:dyDescent="0.25">
      <c r="A29" s="608" t="s">
        <v>26</v>
      </c>
      <c r="B29" s="609"/>
      <c r="C29" s="609"/>
      <c r="D29" s="609"/>
      <c r="E29" s="609"/>
      <c r="F29" s="610"/>
      <c r="G29" s="327"/>
      <c r="H29" s="333"/>
      <c r="I29" s="321"/>
      <c r="J29" s="334"/>
    </row>
    <row r="30" spans="1:10" ht="16.2" hidden="1" customHeight="1" x14ac:dyDescent="0.25">
      <c r="A30" s="608" t="s">
        <v>27</v>
      </c>
      <c r="B30" s="609"/>
      <c r="C30" s="609"/>
      <c r="D30" s="609"/>
      <c r="E30" s="609"/>
      <c r="F30" s="610"/>
      <c r="G30" s="327"/>
      <c r="H30" s="333"/>
      <c r="I30" s="321"/>
      <c r="J30" s="334"/>
    </row>
    <row r="31" spans="1:10" ht="16.2" hidden="1" customHeight="1" x14ac:dyDescent="0.25">
      <c r="A31" s="608" t="s">
        <v>28</v>
      </c>
      <c r="B31" s="609"/>
      <c r="C31" s="609"/>
      <c r="D31" s="609"/>
      <c r="E31" s="609"/>
      <c r="F31" s="610"/>
      <c r="G31" s="327"/>
      <c r="H31" s="333"/>
      <c r="I31" s="321"/>
      <c r="J31" s="334"/>
    </row>
    <row r="32" spans="1:10" ht="16.2" customHeight="1" x14ac:dyDescent="0.25">
      <c r="A32" s="608"/>
      <c r="B32" s="609"/>
      <c r="C32" s="609"/>
      <c r="D32" s="609"/>
      <c r="E32" s="609"/>
      <c r="F32" s="610"/>
      <c r="G32" s="327"/>
      <c r="H32" s="333"/>
      <c r="I32" s="321"/>
      <c r="J32" s="334"/>
    </row>
    <row r="33" spans="1:10" ht="16.2" customHeight="1" x14ac:dyDescent="0.3">
      <c r="A33" s="611" t="s">
        <v>29</v>
      </c>
      <c r="B33" s="612"/>
      <c r="C33" s="335">
        <f>'MASQUE DE SAISIE '!E44</f>
        <v>3925</v>
      </c>
      <c r="D33" s="649" t="s">
        <v>30</v>
      </c>
      <c r="E33" s="650"/>
      <c r="F33" s="650"/>
      <c r="G33" s="650"/>
      <c r="H33" s="650"/>
      <c r="I33" s="651"/>
      <c r="J33" s="463">
        <f>SUM(J13:J32)</f>
        <v>1900</v>
      </c>
    </row>
    <row r="34" spans="1:10" ht="10.5" customHeight="1" x14ac:dyDescent="0.25">
      <c r="A34" s="652"/>
      <c r="B34" s="653"/>
      <c r="C34" s="653"/>
      <c r="D34" s="653"/>
      <c r="E34" s="653"/>
      <c r="F34" s="653"/>
      <c r="G34" s="653"/>
      <c r="H34" s="653"/>
      <c r="I34" s="653"/>
      <c r="J34" s="654"/>
    </row>
    <row r="35" spans="1:10" ht="30" customHeight="1" x14ac:dyDescent="0.25">
      <c r="A35" s="655" t="s">
        <v>296</v>
      </c>
      <c r="B35" s="656"/>
      <c r="C35" s="371" t="s">
        <v>32</v>
      </c>
      <c r="D35" s="372" t="s">
        <v>33</v>
      </c>
      <c r="E35" s="372" t="s">
        <v>34</v>
      </c>
      <c r="F35" s="371" t="s">
        <v>35</v>
      </c>
      <c r="G35" s="371" t="s">
        <v>36</v>
      </c>
      <c r="H35" s="270"/>
    </row>
    <row r="36" spans="1:10" ht="17.399999999999999" customHeight="1" x14ac:dyDescent="0.25">
      <c r="A36" s="662" t="s">
        <v>37</v>
      </c>
      <c r="B36" s="663"/>
      <c r="C36" s="665"/>
      <c r="D36" s="666"/>
      <c r="E36" s="666"/>
      <c r="F36" s="666"/>
      <c r="G36" s="667"/>
    </row>
    <row r="37" spans="1:10" ht="19.8" customHeight="1" x14ac:dyDescent="0.25">
      <c r="A37" s="599" t="s">
        <v>279</v>
      </c>
      <c r="B37" s="593"/>
      <c r="C37" s="336">
        <f>J33</f>
        <v>1900</v>
      </c>
      <c r="D37" s="337"/>
      <c r="E37" s="337">
        <f>VLOOKUP(A37,TAUX2023,4,FALSE)</f>
        <v>7.0000000000000007E-2</v>
      </c>
      <c r="F37" s="338"/>
      <c r="G37" s="336">
        <f>ROUND(C37*E37,2)</f>
        <v>133</v>
      </c>
      <c r="J37" s="228"/>
    </row>
    <row r="38" spans="1:10" ht="19.8" customHeight="1" x14ac:dyDescent="0.25">
      <c r="A38" s="599" t="s">
        <v>206</v>
      </c>
      <c r="B38" s="593"/>
      <c r="C38" s="339">
        <f>IF(J33&gt;2.25*B10*D10,J33,0)</f>
        <v>0</v>
      </c>
      <c r="D38" s="337"/>
      <c r="E38" s="337">
        <f>VLOOKUP(A38,TAUX2023,4,FALSE)</f>
        <v>0.06</v>
      </c>
      <c r="F38" s="338"/>
      <c r="G38" s="336">
        <f t="shared" ref="G38:G63" si="1">ROUND(C38*E38,2)</f>
        <v>0</v>
      </c>
      <c r="J38" s="228"/>
    </row>
    <row r="39" spans="1:10" ht="19.8" customHeight="1" x14ac:dyDescent="0.25">
      <c r="A39" s="666"/>
      <c r="B39" s="667"/>
      <c r="C39" s="336"/>
      <c r="D39" s="340"/>
      <c r="E39" s="340"/>
      <c r="F39" s="338">
        <f t="shared" ref="F39:F71" si="2">ROUND(C39*D39,2)</f>
        <v>0</v>
      </c>
      <c r="G39" s="336">
        <f t="shared" si="1"/>
        <v>0</v>
      </c>
      <c r="J39" s="42"/>
    </row>
    <row r="40" spans="1:10" ht="19.8" customHeight="1" x14ac:dyDescent="0.25">
      <c r="A40" s="599" t="s">
        <v>256</v>
      </c>
      <c r="B40" s="593"/>
      <c r="C40" s="336">
        <f>IF(I9=1,J33,0)</f>
        <v>0</v>
      </c>
      <c r="D40" s="337">
        <f>'MASQUE DE SAISIE '!G12</f>
        <v>0.01</v>
      </c>
      <c r="E40" s="337">
        <f>'MASQUE DE SAISIE '!H12</f>
        <v>0.02</v>
      </c>
      <c r="F40" s="338">
        <f t="shared" si="2"/>
        <v>0</v>
      </c>
      <c r="G40" s="336">
        <f t="shared" si="1"/>
        <v>0</v>
      </c>
      <c r="J40" s="42"/>
    </row>
    <row r="41" spans="1:10" ht="19.8" hidden="1" customHeight="1" x14ac:dyDescent="0.25">
      <c r="A41" s="664"/>
      <c r="B41" s="664"/>
      <c r="C41" s="336"/>
      <c r="D41" s="337"/>
      <c r="E41" s="337"/>
      <c r="F41" s="338">
        <f t="shared" si="2"/>
        <v>0</v>
      </c>
      <c r="G41" s="336">
        <f t="shared" si="1"/>
        <v>0</v>
      </c>
      <c r="J41" s="42"/>
    </row>
    <row r="42" spans="1:10" ht="19.8" hidden="1" customHeight="1" x14ac:dyDescent="0.25">
      <c r="A42" s="664"/>
      <c r="B42" s="664"/>
      <c r="C42" s="340"/>
      <c r="D42" s="340"/>
      <c r="E42" s="340"/>
      <c r="F42" s="338">
        <f t="shared" si="2"/>
        <v>0</v>
      </c>
      <c r="G42" s="336">
        <f t="shared" si="1"/>
        <v>0</v>
      </c>
      <c r="J42" s="42"/>
    </row>
    <row r="43" spans="1:10" ht="19.8" customHeight="1" x14ac:dyDescent="0.25">
      <c r="A43" s="599" t="s">
        <v>202</v>
      </c>
      <c r="B43" s="593"/>
      <c r="C43" s="336">
        <f>IF(I9=2,J33,0)</f>
        <v>1900</v>
      </c>
      <c r="D43" s="337">
        <f>'MASQUE DE SAISIE '!G15</f>
        <v>0.01</v>
      </c>
      <c r="E43" s="337">
        <f>'MASQUE DE SAISIE '!H15</f>
        <v>0.02</v>
      </c>
      <c r="F43" s="338">
        <f t="shared" si="2"/>
        <v>19</v>
      </c>
      <c r="G43" s="336">
        <f t="shared" si="1"/>
        <v>38</v>
      </c>
      <c r="J43" s="42"/>
    </row>
    <row r="44" spans="1:10" ht="22.2" hidden="1" customHeight="1" x14ac:dyDescent="0.25">
      <c r="A44" s="597" t="s">
        <v>207</v>
      </c>
      <c r="B44" s="597"/>
      <c r="C44" s="336">
        <f>IF(I9=2,IF(E76=0,IF(J33&gt;C33,C33,J33),0),0)</f>
        <v>0</v>
      </c>
      <c r="D44" s="337"/>
      <c r="E44" s="337">
        <f>VLOOKUP(A44,TAUX2023,4,FALSE)</f>
        <v>1.4999999999999999E-2</v>
      </c>
      <c r="F44" s="350">
        <f>ROUND(C44*D44,2)</f>
        <v>0</v>
      </c>
      <c r="G44" s="213">
        <f>ROUND(C44*E44,2)</f>
        <v>0</v>
      </c>
      <c r="J44" s="42"/>
    </row>
    <row r="45" spans="1:10" ht="22.2" hidden="1" customHeight="1" x14ac:dyDescent="0.25">
      <c r="A45" s="664" t="s">
        <v>208</v>
      </c>
      <c r="B45" s="664"/>
      <c r="C45" s="341"/>
      <c r="D45" s="337">
        <f>VLOOKUP(A45,TAUX2023,3,FALSE)</f>
        <v>0</v>
      </c>
      <c r="E45" s="337">
        <f>VLOOKUP(A45,TAUX2023,4,FALSE)</f>
        <v>0</v>
      </c>
      <c r="F45" s="338">
        <f t="shared" si="2"/>
        <v>0</v>
      </c>
      <c r="G45" s="336">
        <f t="shared" si="1"/>
        <v>0</v>
      </c>
      <c r="J45" s="42"/>
    </row>
    <row r="46" spans="1:10" ht="22.2" hidden="1" customHeight="1" x14ac:dyDescent="0.25">
      <c r="A46" s="664" t="s">
        <v>209</v>
      </c>
      <c r="B46" s="664"/>
      <c r="C46" s="336"/>
      <c r="D46" s="337">
        <f>VLOOKUP(A46,TAUX2023,3,FALSE)</f>
        <v>0</v>
      </c>
      <c r="E46" s="337">
        <f>VLOOKUP(A46,TAUX2023,4,FALSE)</f>
        <v>0</v>
      </c>
      <c r="F46" s="338">
        <f t="shared" si="2"/>
        <v>0</v>
      </c>
      <c r="G46" s="336">
        <f t="shared" si="1"/>
        <v>0</v>
      </c>
      <c r="J46" s="42"/>
    </row>
    <row r="47" spans="1:10" ht="22.2" hidden="1" customHeight="1" x14ac:dyDescent="0.25">
      <c r="A47" s="705"/>
      <c r="B47" s="705"/>
      <c r="C47" s="336"/>
      <c r="D47" s="337"/>
      <c r="E47" s="337"/>
      <c r="F47" s="338">
        <f t="shared" si="2"/>
        <v>0</v>
      </c>
      <c r="G47" s="336">
        <f t="shared" si="1"/>
        <v>0</v>
      </c>
      <c r="J47" s="42"/>
    </row>
    <row r="48" spans="1:10" ht="22.2" hidden="1" customHeight="1" x14ac:dyDescent="0.25">
      <c r="A48" s="58"/>
      <c r="B48" s="58"/>
      <c r="C48" s="336"/>
      <c r="D48" s="340"/>
      <c r="E48" s="340"/>
      <c r="F48" s="338">
        <f t="shared" si="2"/>
        <v>0</v>
      </c>
      <c r="G48" s="336">
        <f t="shared" si="1"/>
        <v>0</v>
      </c>
      <c r="J48" s="42"/>
    </row>
    <row r="49" spans="1:17" ht="21.6" customHeight="1" x14ac:dyDescent="0.25">
      <c r="A49" s="657" t="s">
        <v>38</v>
      </c>
      <c r="B49" s="658"/>
      <c r="C49" s="342">
        <f>J33</f>
        <v>1900</v>
      </c>
      <c r="D49" s="337"/>
      <c r="E49" s="337">
        <f>'MASQUE DE SAISIE '!H21</f>
        <v>1.2999999999999999E-2</v>
      </c>
      <c r="F49" s="338"/>
      <c r="G49" s="336">
        <f t="shared" si="1"/>
        <v>24.7</v>
      </c>
      <c r="J49" s="42"/>
      <c r="L49" s="672"/>
    </row>
    <row r="50" spans="1:17" ht="19.8" customHeight="1" x14ac:dyDescent="0.25">
      <c r="A50" s="657" t="s">
        <v>39</v>
      </c>
      <c r="B50" s="658"/>
      <c r="C50" s="343"/>
      <c r="D50" s="337"/>
      <c r="E50" s="337"/>
      <c r="F50" s="338"/>
      <c r="G50" s="336"/>
      <c r="L50" s="672"/>
    </row>
    <row r="51" spans="1:17" ht="18.75" customHeight="1" x14ac:dyDescent="0.25">
      <c r="A51" s="659" t="s">
        <v>40</v>
      </c>
      <c r="B51" s="599"/>
      <c r="C51" s="336">
        <f>IF(J33&gt;C33,C33,J33)</f>
        <v>1900</v>
      </c>
      <c r="D51" s="337">
        <f>VLOOKUP(A51,TAUX2023,3,FALSE)</f>
        <v>6.9000000000000006E-2</v>
      </c>
      <c r="E51" s="337">
        <f>VLOOKUP(A51,TAUX2023,4,FALSE)</f>
        <v>8.5500000000000007E-2</v>
      </c>
      <c r="F51" s="338">
        <f t="shared" si="2"/>
        <v>131.1</v>
      </c>
      <c r="G51" s="336">
        <f t="shared" si="1"/>
        <v>162.44999999999999</v>
      </c>
    </row>
    <row r="52" spans="1:17" ht="18" customHeight="1" x14ac:dyDescent="0.25">
      <c r="A52" s="659" t="s">
        <v>41</v>
      </c>
      <c r="B52" s="599"/>
      <c r="C52" s="336">
        <f>J33</f>
        <v>1900</v>
      </c>
      <c r="D52" s="337">
        <f>VLOOKUP(A52,TAUX2023,3,FALSE)</f>
        <v>4.0000000000000001E-3</v>
      </c>
      <c r="E52" s="337">
        <f>VLOOKUP(A52,TAUX2023,4,FALSE)</f>
        <v>2.0199999999999999E-2</v>
      </c>
      <c r="F52" s="338">
        <f t="shared" si="2"/>
        <v>7.6</v>
      </c>
      <c r="G52" s="336">
        <f t="shared" si="1"/>
        <v>38.380000000000003</v>
      </c>
    </row>
    <row r="53" spans="1:17" ht="14.4" customHeight="1" x14ac:dyDescent="0.3">
      <c r="A53" s="659" t="s">
        <v>42</v>
      </c>
      <c r="B53" s="599"/>
      <c r="C53" s="336">
        <f>IF(J33&gt;C33,C33,J33)</f>
        <v>1900</v>
      </c>
      <c r="D53" s="344">
        <f>IF(J33&gt;C33,'TABLE DES TAUX 2025 '!E73,'TABLE DES TAUX 2025 '!C73)</f>
        <v>4.0099999999999997E-2</v>
      </c>
      <c r="E53" s="344">
        <f>IF(J33&gt;C33,'TABLE DES TAUX 2025 '!F73,'TABLE DES TAUX 2025 '!D73)</f>
        <v>6.0100000000000001E-2</v>
      </c>
      <c r="F53" s="338">
        <f t="shared" si="2"/>
        <v>76.19</v>
      </c>
      <c r="G53" s="336">
        <f t="shared" si="1"/>
        <v>114.19</v>
      </c>
      <c r="H53" s="230"/>
      <c r="I53" s="231"/>
      <c r="J53" s="232"/>
      <c r="K53" s="232"/>
      <c r="M53" s="677"/>
      <c r="N53" s="677"/>
      <c r="O53" s="677"/>
    </row>
    <row r="54" spans="1:17" ht="14.4" hidden="1" customHeight="1" x14ac:dyDescent="0.3">
      <c r="A54" s="659" t="s">
        <v>43</v>
      </c>
      <c r="B54" s="599"/>
      <c r="C54" s="345">
        <f>IF(J33&gt;C33,IF(J33&gt;8*C33,7*C33,J33-C33),0)</f>
        <v>0</v>
      </c>
      <c r="D54" s="344">
        <f>IF(J33&gt;C33,'TABLE DES TAUX 2025 '!E79,0)</f>
        <v>0</v>
      </c>
      <c r="E54" s="346">
        <f>IF(J33&gt;C33,'TABLE DES TAUX 2025 '!F79,0)</f>
        <v>0</v>
      </c>
      <c r="F54" s="338">
        <f t="shared" si="2"/>
        <v>0</v>
      </c>
      <c r="G54" s="336">
        <f t="shared" si="1"/>
        <v>0</v>
      </c>
      <c r="H54" s="230"/>
      <c r="I54" s="231"/>
      <c r="J54" s="232"/>
      <c r="K54" s="232"/>
      <c r="M54" s="678"/>
      <c r="N54" s="678"/>
      <c r="O54" s="234"/>
      <c r="P54" s="235"/>
      <c r="Q54" s="234"/>
    </row>
    <row r="55" spans="1:17" ht="14.4" hidden="1" customHeight="1" x14ac:dyDescent="0.3">
      <c r="A55" s="669"/>
      <c r="B55" s="670"/>
      <c r="C55" s="336"/>
      <c r="D55" s="346"/>
      <c r="E55" s="346">
        <f>IF(I33&gt;B32,'TABLE DES TAUX 2025 '!F78,0)</f>
        <v>0</v>
      </c>
      <c r="F55" s="338">
        <f t="shared" si="2"/>
        <v>0</v>
      </c>
      <c r="G55" s="336">
        <f t="shared" si="1"/>
        <v>0</v>
      </c>
      <c r="H55" s="230"/>
      <c r="I55" s="231"/>
      <c r="J55" s="232"/>
      <c r="K55" s="232"/>
      <c r="M55" s="233"/>
      <c r="N55" s="233"/>
      <c r="O55" s="234"/>
      <c r="P55" s="235"/>
      <c r="Q55" s="234"/>
    </row>
    <row r="56" spans="1:17" ht="14.4" hidden="1" customHeight="1" x14ac:dyDescent="0.3">
      <c r="A56" s="669"/>
      <c r="B56" s="670"/>
      <c r="C56" s="336"/>
      <c r="D56" s="346"/>
      <c r="E56" s="346">
        <f>IF(I34&gt;B33,'TABLE DES TAUX 2025 '!F79,0)</f>
        <v>0</v>
      </c>
      <c r="F56" s="338">
        <f t="shared" si="2"/>
        <v>0</v>
      </c>
      <c r="G56" s="336">
        <f t="shared" si="1"/>
        <v>0</v>
      </c>
      <c r="H56" s="230"/>
      <c r="I56" s="231"/>
      <c r="J56" s="232"/>
      <c r="K56" s="232"/>
      <c r="M56" s="233"/>
      <c r="N56" s="233"/>
      <c r="O56" s="234"/>
      <c r="P56" s="235"/>
      <c r="Q56" s="234"/>
    </row>
    <row r="57" spans="1:17" ht="14.4" customHeight="1" x14ac:dyDescent="0.3">
      <c r="A57" s="660" t="s">
        <v>44</v>
      </c>
      <c r="B57" s="661"/>
      <c r="C57" s="336"/>
      <c r="D57" s="337"/>
      <c r="E57" s="346"/>
      <c r="F57" s="338"/>
      <c r="G57" s="336"/>
      <c r="H57" s="230"/>
      <c r="I57" s="671"/>
      <c r="J57" s="671"/>
      <c r="M57" s="668"/>
      <c r="N57" s="668"/>
      <c r="P57" s="237"/>
      <c r="Q57" s="228"/>
    </row>
    <row r="58" spans="1:17" ht="18.600000000000001" customHeight="1" x14ac:dyDescent="0.3">
      <c r="A58" s="659" t="s">
        <v>257</v>
      </c>
      <c r="B58" s="599"/>
      <c r="C58" s="336">
        <f>J33</f>
        <v>1900</v>
      </c>
      <c r="D58" s="337"/>
      <c r="E58" s="310">
        <f>VLOOKUP(A58,TAUX2023,4,FALSE)</f>
        <v>3.4500000000000003E-2</v>
      </c>
      <c r="F58" s="338"/>
      <c r="G58" s="336">
        <f t="shared" si="1"/>
        <v>65.55</v>
      </c>
      <c r="H58" s="230"/>
      <c r="I58" s="271"/>
      <c r="J58" s="271"/>
      <c r="M58" s="236"/>
      <c r="N58" s="236"/>
      <c r="P58" s="237"/>
      <c r="Q58" s="228"/>
    </row>
    <row r="59" spans="1:17" ht="18.600000000000001" customHeight="1" x14ac:dyDescent="0.3">
      <c r="A59" s="659" t="s">
        <v>258</v>
      </c>
      <c r="B59" s="599"/>
      <c r="C59" s="336">
        <f>IF(J33&gt;3.3*B10*'TABLE DES TAUX 2025 '!D53,J33,0)</f>
        <v>0</v>
      </c>
      <c r="D59" s="337"/>
      <c r="E59" s="310">
        <f>VLOOKUP(A59,TAUX2023,4,FALSE)</f>
        <v>1.7999999999999999E-2</v>
      </c>
      <c r="F59" s="338"/>
      <c r="G59" s="336">
        <f t="shared" si="1"/>
        <v>0</v>
      </c>
      <c r="H59" s="230"/>
      <c r="I59" s="23"/>
      <c r="J59" s="271"/>
      <c r="M59" s="236"/>
      <c r="N59" s="236"/>
      <c r="P59" s="237"/>
      <c r="Q59" s="228"/>
    </row>
    <row r="60" spans="1:17" ht="18.600000000000001" customHeight="1" x14ac:dyDescent="0.3">
      <c r="A60" s="660" t="s">
        <v>45</v>
      </c>
      <c r="B60" s="661"/>
      <c r="C60" s="340"/>
      <c r="D60" s="347"/>
      <c r="E60" s="346"/>
      <c r="F60" s="338"/>
      <c r="G60" s="336"/>
      <c r="H60" s="238"/>
      <c r="I60" s="23"/>
      <c r="J60" s="271"/>
      <c r="M60" s="668"/>
      <c r="N60" s="668"/>
      <c r="O60" s="239"/>
      <c r="Q60" s="24">
        <v>1.546</v>
      </c>
    </row>
    <row r="61" spans="1:17" ht="18" customHeight="1" x14ac:dyDescent="0.3">
      <c r="A61" s="659" t="s">
        <v>246</v>
      </c>
      <c r="B61" s="599"/>
      <c r="C61" s="341">
        <f>IF(J33&gt;C33,IF(J33&gt;4*C33,4*C33,J33),J33)</f>
        <v>1900</v>
      </c>
      <c r="D61" s="346"/>
      <c r="E61" s="519">
        <f>IF(H10&gt;=45778,4%,4.05%)+'TABLE DES TAUX 2025 '!E14</f>
        <v>4.2500000000000003E-2</v>
      </c>
      <c r="F61" s="338"/>
      <c r="G61" s="336">
        <f t="shared" si="1"/>
        <v>80.75</v>
      </c>
      <c r="H61" s="238"/>
      <c r="I61" s="23"/>
      <c r="J61" s="271"/>
      <c r="M61" s="236"/>
      <c r="N61" s="236"/>
      <c r="O61" s="239"/>
    </row>
    <row r="62" spans="1:17" ht="0.75" customHeight="1" x14ac:dyDescent="0.3">
      <c r="A62" s="659"/>
      <c r="B62" s="599"/>
      <c r="C62" s="341"/>
      <c r="D62" s="346"/>
      <c r="E62" s="348"/>
      <c r="F62" s="338">
        <f t="shared" si="2"/>
        <v>0</v>
      </c>
      <c r="G62" s="336">
        <f t="shared" si="1"/>
        <v>0</v>
      </c>
      <c r="H62" s="238"/>
      <c r="I62" s="23"/>
      <c r="J62" s="271"/>
      <c r="M62" s="236"/>
      <c r="N62" s="236"/>
      <c r="O62" s="239"/>
    </row>
    <row r="63" spans="1:17" ht="17.25" customHeight="1" x14ac:dyDescent="0.3">
      <c r="A63" s="659" t="s">
        <v>285</v>
      </c>
      <c r="B63" s="599"/>
      <c r="C63" s="341">
        <f>IF(I9=2,C61,0)</f>
        <v>1900</v>
      </c>
      <c r="D63" s="349">
        <f>VLOOKUP(A63,TAUX2023,3,FALSE)</f>
        <v>2.4000000000000001E-4</v>
      </c>
      <c r="E63" s="349">
        <f>VLOOKUP(A63,TAUX2023,4,FALSE)</f>
        <v>3.6000000000000002E-4</v>
      </c>
      <c r="F63" s="338">
        <f t="shared" si="2"/>
        <v>0.46</v>
      </c>
      <c r="G63" s="336">
        <f t="shared" si="1"/>
        <v>0.68</v>
      </c>
      <c r="H63" s="238"/>
      <c r="J63" s="42"/>
      <c r="M63" s="236"/>
      <c r="N63" s="236"/>
      <c r="O63" s="239"/>
    </row>
    <row r="64" spans="1:17" ht="26.25" customHeight="1" x14ac:dyDescent="0.3">
      <c r="A64" s="660" t="s">
        <v>46</v>
      </c>
      <c r="B64" s="661"/>
      <c r="C64" s="336"/>
      <c r="D64" s="336"/>
      <c r="E64" s="350"/>
      <c r="F64" s="338"/>
      <c r="G64" s="336">
        <f>E134</f>
        <v>55.4</v>
      </c>
      <c r="M64" s="668"/>
      <c r="N64" s="668"/>
      <c r="O64" s="230"/>
    </row>
    <row r="65" spans="1:11" ht="34.5" hidden="1" customHeight="1" x14ac:dyDescent="0.25">
      <c r="A65" s="679" t="s">
        <v>48</v>
      </c>
      <c r="B65" s="680"/>
      <c r="C65" s="351"/>
      <c r="D65" s="352"/>
      <c r="E65" s="353"/>
      <c r="F65" s="338"/>
      <c r="G65" s="336"/>
      <c r="I65" s="23"/>
      <c r="J65" s="271"/>
    </row>
    <row r="66" spans="1:11" ht="22.5" customHeight="1" x14ac:dyDescent="0.25">
      <c r="A66" s="681" t="s">
        <v>49</v>
      </c>
      <c r="B66" s="681"/>
      <c r="C66" s="345">
        <f>'HEURES SUPPLEMENTAIRES '!F136</f>
        <v>1942.75</v>
      </c>
      <c r="D66" s="354">
        <f>VLOOKUP(A66,TAUX2023,3,FALSE)</f>
        <v>6.8000000000000005E-2</v>
      </c>
      <c r="E66" s="336"/>
      <c r="F66" s="338">
        <f t="shared" si="2"/>
        <v>132.11000000000001</v>
      </c>
      <c r="G66" s="336"/>
      <c r="I66" s="23"/>
      <c r="J66" s="271"/>
    </row>
    <row r="67" spans="1:11" ht="22.5" customHeight="1" x14ac:dyDescent="0.25">
      <c r="A67" s="681" t="s">
        <v>50</v>
      </c>
      <c r="B67" s="681"/>
      <c r="C67" s="345">
        <f>C66</f>
        <v>1942.75</v>
      </c>
      <c r="D67" s="354">
        <f>VLOOKUP(A67,TAUX2023,3,FALSE)</f>
        <v>2.9000000000000001E-2</v>
      </c>
      <c r="E67" s="336"/>
      <c r="F67" s="338">
        <f t="shared" si="2"/>
        <v>56.34</v>
      </c>
      <c r="G67" s="336"/>
      <c r="I67" s="23"/>
      <c r="J67" s="271"/>
      <c r="K67" s="228"/>
    </row>
    <row r="68" spans="1:11" ht="22.5" hidden="1" customHeight="1" x14ac:dyDescent="0.25">
      <c r="A68" s="681" t="s">
        <v>249</v>
      </c>
      <c r="B68" s="681"/>
      <c r="C68" s="345">
        <f>'HEURES SUPPLEMENTAIRES '!F137</f>
        <v>0</v>
      </c>
      <c r="D68" s="354">
        <f>D66</f>
        <v>6.8000000000000005E-2</v>
      </c>
      <c r="E68" s="336"/>
      <c r="F68" s="338">
        <f t="shared" si="2"/>
        <v>0</v>
      </c>
      <c r="G68" s="336"/>
      <c r="J68" s="228"/>
      <c r="K68" s="228"/>
    </row>
    <row r="69" spans="1:11" ht="21.6" customHeight="1" x14ac:dyDescent="0.25">
      <c r="A69" s="681" t="s">
        <v>250</v>
      </c>
      <c r="B69" s="681"/>
      <c r="C69" s="345">
        <f>'HEURES SUPPLEMENTAIRES '!F138</f>
        <v>0</v>
      </c>
      <c r="D69" s="354">
        <f>D66</f>
        <v>6.8000000000000005E-2</v>
      </c>
      <c r="E69" s="336"/>
      <c r="F69" s="338">
        <f t="shared" si="2"/>
        <v>0</v>
      </c>
      <c r="G69" s="336"/>
      <c r="J69" s="228"/>
      <c r="K69" s="228"/>
    </row>
    <row r="70" spans="1:11" ht="27.6" customHeight="1" x14ac:dyDescent="0.25">
      <c r="A70" s="681" t="s">
        <v>251</v>
      </c>
      <c r="B70" s="681"/>
      <c r="C70" s="336">
        <f>+C68+C69</f>
        <v>0</v>
      </c>
      <c r="D70" s="354">
        <f>D67</f>
        <v>2.9000000000000001E-2</v>
      </c>
      <c r="E70" s="336"/>
      <c r="F70" s="338">
        <f t="shared" si="2"/>
        <v>0</v>
      </c>
      <c r="G70" s="336"/>
      <c r="J70" s="228"/>
      <c r="K70" s="228"/>
    </row>
    <row r="71" spans="1:11" ht="25.2" customHeight="1" x14ac:dyDescent="0.25">
      <c r="A71" s="660" t="s">
        <v>288</v>
      </c>
      <c r="B71" s="661"/>
      <c r="C71" s="355"/>
      <c r="D71" s="355"/>
      <c r="E71" s="356"/>
      <c r="F71" s="338">
        <f t="shared" si="2"/>
        <v>0</v>
      </c>
      <c r="G71" s="311">
        <f>-'HEURES SUPPLEMENTAIRES '!A145-'Red Gen de CotBP Format Juillet'!J16</f>
        <v>-523.07000000000005</v>
      </c>
      <c r="J71" s="228"/>
      <c r="K71" s="228"/>
    </row>
    <row r="72" spans="1:11" ht="25.2" customHeight="1" x14ac:dyDescent="0.25">
      <c r="A72" s="659" t="s">
        <v>54</v>
      </c>
      <c r="B72" s="599"/>
      <c r="C72" s="336">
        <f>'HEURES SUPPLEMENTAIRES '!E57</f>
        <v>0</v>
      </c>
      <c r="D72" s="357">
        <f>+'HEURES SUPPLEMENTAIRES '!D57</f>
        <v>0.11310000000000001</v>
      </c>
      <c r="E72" s="358"/>
      <c r="F72" s="338">
        <f>-ROUND(C72*D72,2)</f>
        <v>0</v>
      </c>
      <c r="G72" s="359"/>
      <c r="J72" s="228"/>
      <c r="K72" s="228"/>
    </row>
    <row r="73" spans="1:11" ht="25.2" customHeight="1" x14ac:dyDescent="0.25">
      <c r="A73" s="659" t="s">
        <v>55</v>
      </c>
      <c r="B73" s="599"/>
      <c r="C73" s="336"/>
      <c r="D73" s="336"/>
      <c r="E73" s="350"/>
      <c r="F73" s="360">
        <f>SUM(F37:F72)</f>
        <v>422.80000000000007</v>
      </c>
      <c r="G73" s="361">
        <f>SUM(G37:G72)</f>
        <v>190.02999999999986</v>
      </c>
      <c r="J73" s="228"/>
    </row>
    <row r="74" spans="1:11" ht="21" customHeight="1" x14ac:dyDescent="0.25">
      <c r="A74" s="682" t="s">
        <v>259</v>
      </c>
      <c r="B74" s="683"/>
      <c r="C74" s="336"/>
      <c r="D74" s="336"/>
      <c r="E74" s="350"/>
      <c r="F74" s="350"/>
      <c r="G74" s="336"/>
      <c r="H74" s="228"/>
      <c r="I74" s="228"/>
    </row>
    <row r="75" spans="1:11" ht="21" customHeight="1" x14ac:dyDescent="0.25">
      <c r="A75" s="599" t="s">
        <v>260</v>
      </c>
      <c r="B75" s="593"/>
      <c r="C75" s="336">
        <f>IF(I9=1,J33,0)</f>
        <v>0</v>
      </c>
      <c r="D75" s="354">
        <f>'MASQUE DE SAISIE '!G13</f>
        <v>0</v>
      </c>
      <c r="E75" s="354">
        <f>'MASQUE DE SAISIE '!H13</f>
        <v>0.02</v>
      </c>
      <c r="F75" s="350">
        <f>ROUND(C75*D75,2)</f>
        <v>0</v>
      </c>
      <c r="G75" s="213">
        <f>ROUND(C75*E75,2)</f>
        <v>0</v>
      </c>
      <c r="I75" s="228"/>
    </row>
    <row r="76" spans="1:11" ht="21" customHeight="1" x14ac:dyDescent="0.25">
      <c r="A76" s="599" t="s">
        <v>261</v>
      </c>
      <c r="B76" s="593"/>
      <c r="C76" s="336">
        <f>IF(I9=2,J33,0)</f>
        <v>1900</v>
      </c>
      <c r="D76" s="354">
        <f>'MASQUE DE SAISIE '!G16</f>
        <v>0</v>
      </c>
      <c r="E76" s="354">
        <f>'MASQUE DE SAISIE '!H16</f>
        <v>0.02</v>
      </c>
      <c r="F76" s="350">
        <f>ROUND(C76*D76,2)</f>
        <v>0</v>
      </c>
      <c r="G76" s="213">
        <f>ROUND(C76*E76,2)</f>
        <v>38</v>
      </c>
      <c r="I76" s="241"/>
      <c r="J76" s="242"/>
      <c r="K76" s="241"/>
    </row>
    <row r="77" spans="1:11" ht="21" hidden="1" customHeight="1" x14ac:dyDescent="0.25">
      <c r="I77" s="241"/>
      <c r="J77" s="242"/>
      <c r="K77" s="241"/>
    </row>
    <row r="78" spans="1:11" ht="21" hidden="1" customHeight="1" x14ac:dyDescent="0.25">
      <c r="A78" s="597" t="s">
        <v>404</v>
      </c>
      <c r="B78" s="597"/>
      <c r="C78" s="336"/>
      <c r="D78" s="354">
        <f>'MASQUE DE SAISIE '!G17</f>
        <v>0</v>
      </c>
      <c r="E78" s="354">
        <f>'MASQUE DE SAISIE '!H16</f>
        <v>0.02</v>
      </c>
      <c r="F78" s="350">
        <f t="shared" ref="F78" si="3">ROUND(C78*D78,2)</f>
        <v>0</v>
      </c>
      <c r="G78" s="213">
        <f t="shared" ref="G78" si="4">ROUND(C78*E78,2)</f>
        <v>0</v>
      </c>
      <c r="K78" s="228"/>
    </row>
    <row r="79" spans="1:11" ht="21" customHeight="1" x14ac:dyDescent="0.25">
      <c r="A79" s="706" t="s">
        <v>232</v>
      </c>
      <c r="B79" s="707"/>
      <c r="C79" s="340"/>
      <c r="D79" s="347"/>
      <c r="E79" s="347"/>
      <c r="F79" s="362">
        <f>J33-F73-F75-F76+F83</f>
        <v>1477.1999999999998</v>
      </c>
      <c r="G79" s="340"/>
      <c r="K79" s="228"/>
    </row>
    <row r="80" spans="1:11" ht="15.75" customHeight="1" x14ac:dyDescent="0.25">
      <c r="A80" s="599" t="s">
        <v>262</v>
      </c>
      <c r="B80" s="593"/>
      <c r="C80" s="340"/>
      <c r="D80" s="347"/>
      <c r="E80" s="347"/>
      <c r="F80" s="340">
        <f>'MASQUE DE SAISIE '!E47*'MASQUE DE SAISIE '!E48</f>
        <v>0</v>
      </c>
      <c r="G80" s="340">
        <f>'MASQUE DE SAISIE '!E47*'MASQUE DE SAISIE '!E49</f>
        <v>0</v>
      </c>
      <c r="K80" s="228"/>
    </row>
    <row r="81" spans="1:12" ht="18.75" customHeight="1" x14ac:dyDescent="0.25">
      <c r="A81" s="599" t="s">
        <v>263</v>
      </c>
      <c r="B81" s="593"/>
      <c r="C81" s="340"/>
      <c r="D81" s="347"/>
      <c r="E81" s="347"/>
      <c r="F81" s="431">
        <f>'MASQUE DE SAISIE '!E50</f>
        <v>0</v>
      </c>
      <c r="G81" s="351"/>
      <c r="K81" s="228"/>
    </row>
    <row r="82" spans="1:12" ht="22.5" hidden="1" customHeight="1" x14ac:dyDescent="0.25">
      <c r="A82" s="594" t="s">
        <v>286</v>
      </c>
      <c r="B82" s="595"/>
      <c r="C82" s="304"/>
      <c r="D82" s="305"/>
      <c r="E82" s="305"/>
      <c r="F82" s="306"/>
      <c r="G82" s="306"/>
      <c r="K82" s="228"/>
    </row>
    <row r="83" spans="1:12" ht="22.5" customHeight="1" x14ac:dyDescent="0.25">
      <c r="A83" s="599" t="s">
        <v>415</v>
      </c>
      <c r="B83" s="593"/>
      <c r="C83" s="304"/>
      <c r="D83" s="305"/>
      <c r="E83" s="305"/>
      <c r="F83" s="470"/>
      <c r="G83" s="306"/>
      <c r="K83" s="228"/>
    </row>
    <row r="84" spans="1:12" customFormat="1" ht="23.25" customHeight="1" x14ac:dyDescent="0.3">
      <c r="A84" s="686" t="s">
        <v>65</v>
      </c>
      <c r="B84" s="686"/>
      <c r="C84" s="686"/>
      <c r="D84" s="686"/>
      <c r="E84" s="686"/>
      <c r="F84" s="686"/>
      <c r="G84" s="686"/>
      <c r="H84" s="686"/>
      <c r="I84" s="686"/>
      <c r="J84" s="684">
        <f>J33-F73-F75-F76-F44-F78-F80+F81-F82+F83</f>
        <v>1477.1999999999998</v>
      </c>
      <c r="K84" s="685"/>
      <c r="L84" s="685"/>
    </row>
    <row r="85" spans="1:12" customFormat="1" ht="18" customHeight="1" x14ac:dyDescent="0.3">
      <c r="A85" s="686" t="s">
        <v>233</v>
      </c>
      <c r="B85" s="686"/>
      <c r="C85" s="686"/>
      <c r="D85" s="686"/>
      <c r="E85" s="686"/>
      <c r="F85" s="686"/>
      <c r="G85" s="686"/>
      <c r="H85" s="686"/>
      <c r="I85" s="686"/>
      <c r="J85" s="684">
        <f>'HEURES SUPPLEMENTAIRES '!E100</f>
        <v>1571.54</v>
      </c>
      <c r="K85" s="685"/>
      <c r="L85" s="685"/>
    </row>
    <row r="86" spans="1:12" customFormat="1" ht="23.25" customHeight="1" x14ac:dyDescent="0.3">
      <c r="A86" s="673" t="s">
        <v>234</v>
      </c>
      <c r="B86" s="673"/>
      <c r="C86" s="673"/>
      <c r="D86" s="673"/>
      <c r="E86" s="673"/>
      <c r="F86" s="673"/>
      <c r="G86" s="673"/>
      <c r="H86" s="673"/>
      <c r="I86" s="673"/>
      <c r="J86" s="675">
        <f>'HEURES SUPPLEMENTAIRES '!E57-F68</f>
        <v>0</v>
      </c>
      <c r="K86" s="675"/>
      <c r="L86" s="68"/>
    </row>
    <row r="87" spans="1:12" customFormat="1" ht="23.25" customHeight="1" x14ac:dyDescent="0.3">
      <c r="A87" s="673" t="s">
        <v>319</v>
      </c>
      <c r="B87" s="673"/>
      <c r="C87" s="673"/>
      <c r="D87" s="673"/>
      <c r="E87" s="673"/>
      <c r="F87" s="673"/>
      <c r="G87" s="673"/>
      <c r="H87" s="673"/>
      <c r="I87" s="673"/>
      <c r="J87" s="474">
        <f>'HEURES SUPPLEMENTAIRES '!G57</f>
        <v>0</v>
      </c>
      <c r="K87" s="475"/>
      <c r="L87" s="476"/>
    </row>
    <row r="88" spans="1:12" customFormat="1" ht="23.25" customHeight="1" x14ac:dyDescent="0.3">
      <c r="A88" s="692" t="s">
        <v>235</v>
      </c>
      <c r="B88" s="693"/>
      <c r="C88" s="694"/>
      <c r="D88" s="570" t="s">
        <v>60</v>
      </c>
      <c r="E88" s="570"/>
      <c r="F88" s="570" t="s">
        <v>67</v>
      </c>
      <c r="G88" s="570"/>
      <c r="H88" s="363" t="s">
        <v>61</v>
      </c>
      <c r="I88" s="65"/>
      <c r="J88" s="674" t="s">
        <v>318</v>
      </c>
      <c r="K88" s="674"/>
      <c r="L88" s="58"/>
    </row>
    <row r="89" spans="1:12" customFormat="1" ht="20.25" customHeight="1" x14ac:dyDescent="0.3">
      <c r="A89" s="695"/>
      <c r="B89" s="696"/>
      <c r="C89" s="697"/>
      <c r="D89" s="698">
        <f>J85</f>
        <v>1571.54</v>
      </c>
      <c r="E89" s="699"/>
      <c r="F89" s="887">
        <f>'TAUX NEUTRE 2025'!H12</f>
        <v>0</v>
      </c>
      <c r="G89" s="701"/>
      <c r="H89" s="364">
        <f>ROUND(D89*F89,2)</f>
        <v>0</v>
      </c>
      <c r="I89" s="65"/>
      <c r="J89" s="58"/>
      <c r="K89" s="58"/>
      <c r="L89" s="58"/>
    </row>
    <row r="90" spans="1:12" customFormat="1" ht="14.4" x14ac:dyDescent="0.3">
      <c r="A90" s="691" t="s">
        <v>287</v>
      </c>
      <c r="B90" s="691"/>
      <c r="C90" s="691"/>
      <c r="D90" s="691"/>
      <c r="E90" s="691"/>
      <c r="F90" s="691"/>
      <c r="G90" s="691"/>
      <c r="H90" s="691"/>
      <c r="I90" s="691"/>
      <c r="J90" s="676">
        <f>J84-H89</f>
        <v>1477.1999999999998</v>
      </c>
      <c r="K90" s="676"/>
      <c r="L90" s="676"/>
    </row>
    <row r="91" spans="1:12" customFormat="1" ht="14.4" x14ac:dyDescent="0.3">
      <c r="A91" s="702" t="s">
        <v>289</v>
      </c>
      <c r="B91" s="703"/>
      <c r="C91" s="703"/>
      <c r="D91" s="703"/>
      <c r="E91" s="703"/>
      <c r="F91" s="703"/>
      <c r="G91" s="703"/>
      <c r="H91" s="703"/>
      <c r="I91" s="704"/>
      <c r="J91" s="689">
        <f>-G71+IF(C59=0,J33*1.8%,0) +IF(C38=0,J33*6%,0)</f>
        <v>671.2700000000001</v>
      </c>
      <c r="K91" s="690"/>
      <c r="L91" s="690"/>
    </row>
    <row r="92" spans="1:12" customFormat="1" ht="14.4" x14ac:dyDescent="0.3">
      <c r="A92" s="691" t="s">
        <v>58</v>
      </c>
      <c r="B92" s="691"/>
      <c r="C92" s="691"/>
      <c r="D92" s="691"/>
      <c r="E92" s="691"/>
      <c r="F92" s="691"/>
      <c r="G92" s="691"/>
      <c r="H92" s="691"/>
      <c r="I92" s="691"/>
      <c r="J92" s="676">
        <f>G73+J33+G75+G76+G44+G78</f>
        <v>2128.0299999999997</v>
      </c>
      <c r="K92" s="690"/>
      <c r="L92" s="690"/>
    </row>
    <row r="93" spans="1:12" customFormat="1" ht="14.4" x14ac:dyDescent="0.3">
      <c r="A93" s="62"/>
      <c r="B93" s="70" t="s">
        <v>64</v>
      </c>
      <c r="C93" s="70" t="s">
        <v>290</v>
      </c>
      <c r="D93" s="687" t="s">
        <v>292</v>
      </c>
      <c r="E93" s="688"/>
      <c r="F93" s="687" t="s">
        <v>293</v>
      </c>
      <c r="G93" s="688"/>
      <c r="H93" s="365"/>
      <c r="I93" s="365"/>
      <c r="J93" s="179"/>
      <c r="K93" s="366"/>
      <c r="L93" s="366"/>
    </row>
    <row r="94" spans="1:12" customFormat="1" ht="21" customHeight="1" x14ac:dyDescent="0.3">
      <c r="A94" s="367" t="s">
        <v>291</v>
      </c>
      <c r="B94" s="66">
        <f>H89</f>
        <v>0</v>
      </c>
      <c r="C94" s="66"/>
      <c r="D94" s="70" t="s">
        <v>108</v>
      </c>
      <c r="E94" s="66"/>
      <c r="F94" s="70" t="s">
        <v>313</v>
      </c>
      <c r="G94" s="66"/>
      <c r="H94" s="70"/>
      <c r="I94" s="365"/>
      <c r="J94" s="179"/>
      <c r="K94" s="366"/>
      <c r="L94" s="366"/>
    </row>
    <row r="95" spans="1:12" customFormat="1" ht="21" customHeight="1" x14ac:dyDescent="0.3">
      <c r="A95" s="368" t="s">
        <v>295</v>
      </c>
      <c r="B95" s="370">
        <f>C72</f>
        <v>0</v>
      </c>
      <c r="C95" s="370"/>
      <c r="D95" s="70" t="s">
        <v>101</v>
      </c>
      <c r="E95" s="66"/>
      <c r="F95" s="70" t="s">
        <v>248</v>
      </c>
      <c r="G95" s="66"/>
      <c r="H95" s="365"/>
      <c r="I95" s="365"/>
      <c r="J95" s="179"/>
      <c r="K95" s="366"/>
      <c r="L95" s="366"/>
    </row>
    <row r="96" spans="1:12" customFormat="1" ht="17.25" customHeight="1" x14ac:dyDescent="0.3">
      <c r="A96" s="369" t="s">
        <v>186</v>
      </c>
      <c r="B96" s="370">
        <f>J33</f>
        <v>1900</v>
      </c>
      <c r="C96" s="370"/>
      <c r="D96" s="70" t="s">
        <v>247</v>
      </c>
      <c r="E96" s="66"/>
      <c r="F96" s="70" t="s">
        <v>247</v>
      </c>
      <c r="G96" s="66"/>
      <c r="H96" s="365"/>
      <c r="I96" s="365"/>
      <c r="J96" s="179"/>
      <c r="K96" s="366"/>
      <c r="L96" s="366"/>
    </row>
    <row r="97" spans="1:12" customFormat="1" ht="17.25" customHeight="1" x14ac:dyDescent="0.3">
      <c r="A97" s="369" t="s">
        <v>62</v>
      </c>
      <c r="B97" s="370">
        <f>+J85</f>
        <v>1571.54</v>
      </c>
      <c r="C97" s="370"/>
      <c r="D97" s="365"/>
      <c r="E97" s="365"/>
      <c r="F97" s="365"/>
      <c r="G97" s="365"/>
      <c r="H97" s="365"/>
      <c r="I97" s="365"/>
      <c r="J97" s="179"/>
      <c r="K97" s="366"/>
      <c r="L97" s="366"/>
    </row>
    <row r="98" spans="1:12" customFormat="1" ht="15" customHeight="1" x14ac:dyDescent="0.3">
      <c r="A98" s="560" t="s">
        <v>59</v>
      </c>
      <c r="B98" s="560"/>
      <c r="C98" s="560"/>
      <c r="D98" s="560"/>
      <c r="E98" s="560"/>
      <c r="F98" s="23"/>
      <c r="G98" s="23"/>
      <c r="H98" s="23"/>
      <c r="I98" s="23"/>
      <c r="J98" s="23"/>
      <c r="K98" s="23"/>
      <c r="L98" s="23"/>
    </row>
    <row r="99" spans="1:12" s="23" customFormat="1" ht="12" customHeight="1" x14ac:dyDescent="0.2">
      <c r="A99" s="43" t="s">
        <v>63</v>
      </c>
    </row>
    <row r="100" spans="1:12" s="23" customFormat="1" ht="12" customHeight="1" x14ac:dyDescent="0.2">
      <c r="A100" s="23" t="s">
        <v>320</v>
      </c>
    </row>
    <row r="101" spans="1:12" s="23" customFormat="1" ht="12" hidden="1" customHeight="1" x14ac:dyDescent="0.2">
      <c r="A101" s="43"/>
    </row>
    <row r="102" spans="1:12" s="23" customFormat="1" ht="12" hidden="1" customHeight="1" x14ac:dyDescent="0.25">
      <c r="A102" s="246" t="s">
        <v>97</v>
      </c>
      <c r="B102" s="247"/>
      <c r="C102" s="248">
        <v>7.4999999999999997E-3</v>
      </c>
      <c r="D102" s="240">
        <f>ROUND(J33*C102,2)</f>
        <v>14.25</v>
      </c>
      <c r="E102" s="227"/>
      <c r="F102" s="249"/>
      <c r="G102" s="226"/>
      <c r="H102" s="24"/>
      <c r="I102" s="24"/>
    </row>
    <row r="103" spans="1:12" ht="30.75" hidden="1" customHeight="1" x14ac:dyDescent="0.25">
      <c r="A103" s="246" t="s">
        <v>98</v>
      </c>
      <c r="B103" s="247"/>
      <c r="C103" s="250">
        <f>(2.4-0.95)%</f>
        <v>1.4499999999999999E-2</v>
      </c>
      <c r="D103" s="240">
        <f>ROUND(C61*C103,2)</f>
        <v>27.55</v>
      </c>
      <c r="F103" s="245"/>
    </row>
    <row r="104" spans="1:12" ht="30.75" hidden="1" customHeight="1" x14ac:dyDescent="0.25">
      <c r="A104" s="251" t="s">
        <v>252</v>
      </c>
      <c r="B104" s="247"/>
      <c r="D104" s="227">
        <f>D102+D103</f>
        <v>41.8</v>
      </c>
      <c r="F104" s="245"/>
    </row>
    <row r="105" spans="1:12" ht="30.75" hidden="1" customHeight="1" x14ac:dyDescent="0.25">
      <c r="A105" s="246" t="s">
        <v>253</v>
      </c>
      <c r="C105" s="227"/>
      <c r="F105" s="252"/>
    </row>
    <row r="106" spans="1:12" ht="30.75" hidden="1" customHeight="1" x14ac:dyDescent="0.25">
      <c r="A106" s="246"/>
      <c r="C106" s="227"/>
      <c r="F106" s="252"/>
    </row>
    <row r="107" spans="1:12" ht="30.75" hidden="1" customHeight="1" x14ac:dyDescent="0.25">
      <c r="A107" s="246" t="s">
        <v>99</v>
      </c>
      <c r="B107" s="253"/>
      <c r="C107" s="240">
        <v>1.7000000000000001E-2</v>
      </c>
      <c r="D107" s="240">
        <f>ROUND(C66*C107,2)</f>
        <v>33.03</v>
      </c>
      <c r="F107" s="252"/>
    </row>
    <row r="108" spans="1:12" ht="30.75" hidden="1" customHeight="1" x14ac:dyDescent="0.25">
      <c r="A108" s="254"/>
      <c r="B108" s="255"/>
      <c r="C108" s="256"/>
      <c r="D108" s="256"/>
      <c r="E108" s="256"/>
      <c r="F108" s="257"/>
    </row>
    <row r="109" spans="1:12" ht="30.75" hidden="1" customHeight="1" x14ac:dyDescent="0.25">
      <c r="A109" s="258" t="s">
        <v>254</v>
      </c>
      <c r="B109" s="259"/>
      <c r="C109" s="260"/>
      <c r="D109" s="260"/>
      <c r="E109" s="260"/>
      <c r="F109" s="261"/>
    </row>
    <row r="110" spans="1:12" ht="30.75" hidden="1" customHeight="1" x14ac:dyDescent="0.25">
      <c r="A110" s="243"/>
      <c r="B110" s="244"/>
      <c r="C110" s="262"/>
      <c r="F110" s="263"/>
    </row>
    <row r="111" spans="1:12" ht="30.75" hidden="1" customHeight="1" x14ac:dyDescent="0.25">
      <c r="A111" s="246" t="s">
        <v>97</v>
      </c>
      <c r="B111" s="247"/>
      <c r="C111" s="248">
        <v>7.4999999999999997E-3</v>
      </c>
      <c r="D111" s="240">
        <f>ROUND(J33*C111,2)</f>
        <v>14.25</v>
      </c>
      <c r="E111" s="226"/>
      <c r="F111" s="245"/>
    </row>
    <row r="112" spans="1:12" ht="30.75" hidden="1" customHeight="1" x14ac:dyDescent="0.25">
      <c r="A112" s="246" t="s">
        <v>98</v>
      </c>
      <c r="B112" s="247"/>
      <c r="C112" s="250">
        <f>(2.4)%</f>
        <v>2.4E-2</v>
      </c>
      <c r="D112" s="240">
        <f>ROUND(C61*C112,2)</f>
        <v>45.6</v>
      </c>
      <c r="E112" s="264"/>
      <c r="F112" s="245"/>
    </row>
    <row r="113" spans="1:18" ht="30.75" hidden="1" customHeight="1" x14ac:dyDescent="0.25">
      <c r="A113" s="251" t="s">
        <v>255</v>
      </c>
      <c r="B113" s="247"/>
      <c r="E113" s="264"/>
      <c r="F113" s="245"/>
    </row>
    <row r="114" spans="1:18" ht="30.75" hidden="1" customHeight="1" x14ac:dyDescent="0.25">
      <c r="A114" s="246" t="s">
        <v>253</v>
      </c>
      <c r="C114" s="227"/>
      <c r="E114" s="265">
        <f>D112+D111-D116</f>
        <v>26.82</v>
      </c>
      <c r="F114" s="245"/>
    </row>
    <row r="115" spans="1:18" ht="30.75" hidden="1" customHeight="1" x14ac:dyDescent="0.25">
      <c r="A115" s="246"/>
      <c r="C115" s="227"/>
      <c r="E115" s="264"/>
      <c r="F115" s="245"/>
    </row>
    <row r="116" spans="1:18" ht="30.75" hidden="1" customHeight="1" x14ac:dyDescent="0.25">
      <c r="A116" s="246" t="s">
        <v>99</v>
      </c>
      <c r="B116" s="253"/>
      <c r="C116" s="240">
        <v>1.7000000000000001E-2</v>
      </c>
      <c r="D116" s="240">
        <f>ROUND(C66*C116,2)</f>
        <v>33.03</v>
      </c>
      <c r="F116" s="245"/>
    </row>
    <row r="117" spans="1:18" ht="30.75" hidden="1" customHeight="1" x14ac:dyDescent="0.25">
      <c r="A117" s="266"/>
      <c r="B117" s="267"/>
      <c r="C117" s="268"/>
      <c r="D117" s="268"/>
      <c r="E117" s="268"/>
      <c r="F117" s="269"/>
    </row>
    <row r="118" spans="1:18" ht="30.75" hidden="1" customHeight="1" x14ac:dyDescent="0.25">
      <c r="B118" s="247"/>
    </row>
    <row r="119" spans="1:18" ht="30.75" customHeight="1" x14ac:dyDescent="0.3">
      <c r="A119" s="25" t="s">
        <v>91</v>
      </c>
    </row>
    <row r="120" spans="1:18" ht="30.75" customHeight="1" x14ac:dyDescent="0.3">
      <c r="A120" s="37" t="s">
        <v>264</v>
      </c>
      <c r="B120" s="307" t="s">
        <v>265</v>
      </c>
      <c r="C120" s="307" t="s">
        <v>227</v>
      </c>
      <c r="D120" s="307" t="s">
        <v>266</v>
      </c>
      <c r="E120" s="307" t="s">
        <v>267</v>
      </c>
      <c r="F120" s="185"/>
      <c r="G120" s="25"/>
      <c r="H120" s="25"/>
      <c r="I120" s="25"/>
    </row>
    <row r="121" spans="1:18" customFormat="1" ht="15.6" x14ac:dyDescent="0.3">
      <c r="A121" s="187"/>
      <c r="B121" s="58"/>
      <c r="C121" s="195" t="s">
        <v>32</v>
      </c>
      <c r="D121" s="195" t="s">
        <v>294</v>
      </c>
      <c r="E121" s="195" t="s">
        <v>102</v>
      </c>
      <c r="H121" s="25"/>
      <c r="I121" s="25"/>
      <c r="J121" s="25"/>
      <c r="K121" s="25"/>
      <c r="L121" s="25"/>
      <c r="M121" s="27"/>
      <c r="N121" s="27"/>
      <c r="O121" s="27"/>
      <c r="P121" s="27"/>
      <c r="Q121" s="27"/>
      <c r="R121" s="27"/>
    </row>
    <row r="122" spans="1:18" customFormat="1" ht="15.6" x14ac:dyDescent="0.3">
      <c r="A122" s="229"/>
      <c r="B122" s="229"/>
      <c r="C122" s="226"/>
      <c r="D122" s="227"/>
      <c r="E122" s="44">
        <f t="shared" ref="E122:E128" si="5">ROUND(C122*D122,2)</f>
        <v>0</v>
      </c>
      <c r="H122" s="25"/>
      <c r="I122" s="25"/>
      <c r="J122" s="25"/>
      <c r="K122" s="25"/>
      <c r="L122" s="25"/>
      <c r="M122" s="27"/>
      <c r="N122" s="27"/>
      <c r="O122" s="27"/>
      <c r="P122" s="27"/>
      <c r="Q122" s="27"/>
      <c r="R122" s="27"/>
    </row>
    <row r="123" spans="1:18" customFormat="1" ht="15.6" x14ac:dyDescent="0.3">
      <c r="A123" s="557" t="s">
        <v>94</v>
      </c>
      <c r="B123" s="558"/>
      <c r="C123" s="44">
        <f>IF(B9&lt;50,IF(J33&gt;C33,C33,J33),0)</f>
        <v>1900</v>
      </c>
      <c r="D123" s="51">
        <f>'TABLE DES TAUX 2025 '!E26</f>
        <v>1E-3</v>
      </c>
      <c r="E123" s="44">
        <f t="shared" si="5"/>
        <v>1.9</v>
      </c>
      <c r="G123" s="513"/>
      <c r="H123" s="25"/>
      <c r="I123" s="25"/>
      <c r="J123" s="25"/>
      <c r="K123" s="25"/>
      <c r="L123" s="25"/>
      <c r="M123" s="27"/>
      <c r="N123" s="27"/>
      <c r="O123" s="27"/>
      <c r="P123" s="27"/>
      <c r="Q123" s="27"/>
      <c r="R123" s="27"/>
    </row>
    <row r="124" spans="1:18" customFormat="1" ht="15.6" x14ac:dyDescent="0.3">
      <c r="A124" s="557" t="s">
        <v>95</v>
      </c>
      <c r="B124" s="558"/>
      <c r="C124" s="44">
        <f>IF(B9&gt;=50,J33,0)</f>
        <v>0</v>
      </c>
      <c r="D124" s="51">
        <f>'TABLE DES TAUX 2025 '!E27</f>
        <v>5.0000000000000001E-3</v>
      </c>
      <c r="E124" s="44">
        <f t="shared" si="5"/>
        <v>0</v>
      </c>
      <c r="G124" s="514"/>
      <c r="H124" s="25"/>
      <c r="I124" s="25"/>
      <c r="J124" s="25"/>
      <c r="K124" s="25"/>
      <c r="L124" s="25"/>
      <c r="M124" s="27"/>
      <c r="N124" s="27"/>
      <c r="O124" s="27"/>
      <c r="P124" s="27"/>
      <c r="Q124" s="27"/>
      <c r="R124" s="27"/>
    </row>
    <row r="125" spans="1:18" customFormat="1" ht="15.6" x14ac:dyDescent="0.3">
      <c r="A125" s="557" t="s">
        <v>284</v>
      </c>
      <c r="B125" s="558"/>
      <c r="C125" s="44">
        <f>IF(B9&gt;=11,J33,0)</f>
        <v>1900</v>
      </c>
      <c r="D125" s="51">
        <f>'MASQUE DE SAISIE '!H22</f>
        <v>5.0000000000000001E-3</v>
      </c>
      <c r="E125" s="44">
        <f t="shared" si="5"/>
        <v>9.5</v>
      </c>
      <c r="G125" s="513"/>
      <c r="H125" s="25"/>
      <c r="I125" s="25"/>
      <c r="J125" s="25"/>
      <c r="K125" s="25"/>
      <c r="L125" s="25"/>
      <c r="M125" s="27"/>
      <c r="N125" s="27"/>
      <c r="O125" s="27"/>
      <c r="P125" s="27"/>
      <c r="Q125" s="27"/>
      <c r="R125" s="27"/>
    </row>
    <row r="126" spans="1:18" customFormat="1" ht="15.6" x14ac:dyDescent="0.3">
      <c r="A126" s="552" t="s">
        <v>73</v>
      </c>
      <c r="B126" s="553"/>
      <c r="C126" s="44">
        <f>J33</f>
        <v>1900</v>
      </c>
      <c r="D126" s="51">
        <f>'TABLE DES TAUX 2025 '!E29</f>
        <v>3.0000000000000001E-3</v>
      </c>
      <c r="E126" s="44">
        <f t="shared" si="5"/>
        <v>5.7</v>
      </c>
      <c r="H126" s="25"/>
      <c r="I126" s="25"/>
      <c r="J126" s="25"/>
      <c r="K126" s="25"/>
      <c r="L126" s="25"/>
      <c r="M126" s="27"/>
      <c r="N126" s="27"/>
      <c r="O126" s="27"/>
      <c r="P126" s="27"/>
      <c r="Q126" s="27"/>
      <c r="R126" s="27"/>
    </row>
    <row r="127" spans="1:18" customFormat="1" ht="15.6" x14ac:dyDescent="0.3">
      <c r="A127" s="557" t="s">
        <v>92</v>
      </c>
      <c r="B127" s="558"/>
      <c r="C127" s="44">
        <f>IF(B9&gt;=11, IF(I9=2,G43+G44+G76,G40+G75),0)</f>
        <v>76</v>
      </c>
      <c r="D127" s="51">
        <f>'TABLE DES TAUX 2025 '!E30</f>
        <v>0.08</v>
      </c>
      <c r="E127" s="44">
        <f t="shared" si="5"/>
        <v>6.08</v>
      </c>
      <c r="H127" s="27"/>
      <c r="I127" s="27"/>
      <c r="J127" s="25"/>
      <c r="K127" s="25"/>
      <c r="L127" s="25"/>
      <c r="M127" s="27"/>
      <c r="N127" s="27"/>
      <c r="O127" s="27"/>
      <c r="P127" s="27"/>
      <c r="Q127" s="27"/>
      <c r="R127" s="27"/>
    </row>
    <row r="128" spans="1:18" customFormat="1" ht="17.25" customHeight="1" x14ac:dyDescent="0.3">
      <c r="A128" s="553" t="s">
        <v>228</v>
      </c>
      <c r="B128" s="559"/>
      <c r="C128" s="44">
        <f>G78</f>
        <v>0</v>
      </c>
      <c r="D128" s="51">
        <f>'TABLE DES TAUX 2025 '!E31</f>
        <v>0.2</v>
      </c>
      <c r="E128" s="44">
        <f t="shared" si="5"/>
        <v>0</v>
      </c>
      <c r="H128" s="27"/>
      <c r="I128" s="27"/>
      <c r="J128" s="27"/>
      <c r="K128" s="27"/>
      <c r="L128" s="27"/>
      <c r="M128" s="27"/>
      <c r="N128" s="27"/>
      <c r="O128" s="27"/>
      <c r="P128" s="27"/>
      <c r="Q128" s="27"/>
      <c r="R128" s="27"/>
    </row>
    <row r="129" spans="1:18" customFormat="1" ht="18" customHeight="1" x14ac:dyDescent="0.3">
      <c r="A129" s="552" t="s">
        <v>74</v>
      </c>
      <c r="B129" s="553"/>
      <c r="C129" s="44">
        <f>+J33</f>
        <v>1900</v>
      </c>
      <c r="D129" s="51">
        <f>'TABLE DES TAUX 2025 '!E32</f>
        <v>1.6000000000000001E-4</v>
      </c>
      <c r="E129" s="44">
        <f t="shared" ref="E129:E133" si="6">ROUND(C129*D129,2)</f>
        <v>0.3</v>
      </c>
      <c r="H129" s="27"/>
      <c r="I129" s="27"/>
      <c r="J129" s="27"/>
      <c r="K129" s="27"/>
      <c r="L129" s="27"/>
      <c r="M129" s="27"/>
      <c r="N129" s="27"/>
      <c r="O129" s="27"/>
      <c r="P129" s="27"/>
      <c r="Q129" s="27"/>
      <c r="R129" s="27"/>
    </row>
    <row r="130" spans="1:18" customFormat="1" ht="16.5" customHeight="1" x14ac:dyDescent="0.3">
      <c r="A130" s="552" t="s">
        <v>79</v>
      </c>
      <c r="B130" s="553"/>
      <c r="C130" s="44">
        <f>C129</f>
        <v>1900</v>
      </c>
      <c r="D130" s="51">
        <f>'TABLE DES TAUX 2025 '!E33</f>
        <v>6.7999999999999996E-3</v>
      </c>
      <c r="E130" s="44">
        <f t="shared" si="6"/>
        <v>12.92</v>
      </c>
      <c r="H130" s="27"/>
      <c r="I130" s="27"/>
      <c r="J130" s="27"/>
      <c r="K130" s="27"/>
      <c r="L130" s="27"/>
      <c r="M130" s="27"/>
      <c r="N130" s="27"/>
      <c r="O130" s="27"/>
      <c r="P130" s="27"/>
      <c r="Q130" s="27"/>
      <c r="R130" s="27"/>
    </row>
    <row r="131" spans="1:18" customFormat="1" ht="15.6" x14ac:dyDescent="0.3">
      <c r="A131" s="552" t="s">
        <v>80</v>
      </c>
      <c r="B131" s="553"/>
      <c r="C131" s="44">
        <f>IF(B9&lt;11,0,J33)</f>
        <v>1900</v>
      </c>
      <c r="D131" s="51">
        <f>'TABLE DES TAUX 2025 '!E34</f>
        <v>0.01</v>
      </c>
      <c r="E131" s="44">
        <f t="shared" si="6"/>
        <v>19</v>
      </c>
      <c r="H131" s="27"/>
      <c r="I131" s="27"/>
      <c r="J131" s="27"/>
      <c r="K131" s="27"/>
      <c r="L131" s="27"/>
      <c r="M131" s="27"/>
      <c r="N131" s="27"/>
      <c r="O131" s="27"/>
      <c r="P131" s="27"/>
      <c r="Q131" s="27"/>
      <c r="R131" s="27"/>
    </row>
    <row r="132" spans="1:18" customFormat="1" ht="15.6" x14ac:dyDescent="0.3">
      <c r="A132" s="552" t="s">
        <v>80</v>
      </c>
      <c r="B132" s="553"/>
      <c r="C132" s="44">
        <f>IF(B9&gt;=11,0,J33)</f>
        <v>0</v>
      </c>
      <c r="D132" s="51">
        <f>'TABLE DES TAUX 2025 '!E35</f>
        <v>5.4999999999999997E-3</v>
      </c>
      <c r="E132" s="44">
        <f t="shared" si="6"/>
        <v>0</v>
      </c>
      <c r="H132" s="27"/>
      <c r="I132" s="27"/>
      <c r="J132" s="27"/>
      <c r="K132" s="27"/>
      <c r="L132" s="27"/>
      <c r="M132" s="27"/>
      <c r="N132" s="27"/>
      <c r="O132" s="27"/>
      <c r="P132" s="27"/>
      <c r="Q132" s="27"/>
      <c r="R132" s="27"/>
    </row>
    <row r="133" spans="1:18" customFormat="1" ht="15.6" x14ac:dyDescent="0.3">
      <c r="A133" s="552" t="s">
        <v>85</v>
      </c>
      <c r="B133" s="553"/>
      <c r="C133" s="44">
        <f>IF(B9&lt;50,0,J33)</f>
        <v>0</v>
      </c>
      <c r="D133" s="51">
        <f>'TABLE DES TAUX 2025 '!E36</f>
        <v>4.4999999999999997E-3</v>
      </c>
      <c r="E133" s="44">
        <f t="shared" si="6"/>
        <v>0</v>
      </c>
      <c r="H133" s="27"/>
      <c r="I133" s="27"/>
      <c r="J133" s="27"/>
      <c r="K133" s="27"/>
      <c r="L133" s="27"/>
      <c r="M133" s="27"/>
      <c r="N133" s="27"/>
      <c r="O133" s="27"/>
      <c r="P133" s="27"/>
      <c r="Q133" s="27"/>
      <c r="R133" s="27"/>
    </row>
    <row r="134" spans="1:18" customFormat="1" ht="15.6" x14ac:dyDescent="0.3">
      <c r="A134" s="27"/>
      <c r="B134" s="27"/>
      <c r="D134" s="27"/>
      <c r="E134" s="44">
        <f>SUM(E123:E133)</f>
        <v>55.4</v>
      </c>
      <c r="G134" s="27"/>
      <c r="H134" s="27"/>
      <c r="I134" s="27"/>
      <c r="J134" s="27"/>
      <c r="K134" s="27"/>
      <c r="L134" s="27"/>
      <c r="M134" s="27"/>
      <c r="N134" s="27"/>
      <c r="O134" s="27"/>
      <c r="P134" s="27"/>
      <c r="Q134" s="27"/>
      <c r="R134" s="27"/>
    </row>
    <row r="135" spans="1:18" customFormat="1" ht="15.6" x14ac:dyDescent="0.3">
      <c r="A135" s="229"/>
      <c r="B135" s="229"/>
      <c r="C135" s="226"/>
      <c r="D135" s="227"/>
      <c r="E135" s="227"/>
      <c r="F135" s="226"/>
      <c r="G135" s="226"/>
      <c r="H135" s="24"/>
      <c r="I135" s="24"/>
      <c r="J135" s="27"/>
      <c r="K135" s="27"/>
      <c r="L135" s="27"/>
      <c r="M135" s="27"/>
      <c r="N135" s="27"/>
      <c r="O135" s="27"/>
      <c r="P135" s="27"/>
      <c r="Q135" s="27"/>
      <c r="R135" s="27"/>
    </row>
  </sheetData>
  <mergeCells count="131">
    <mergeCell ref="F10:G10"/>
    <mergeCell ref="A133:B133"/>
    <mergeCell ref="A42:B42"/>
    <mergeCell ref="A46:B46"/>
    <mergeCell ref="A47:B47"/>
    <mergeCell ref="A126:B126"/>
    <mergeCell ref="A129:B129"/>
    <mergeCell ref="A130:B130"/>
    <mergeCell ref="A131:B131"/>
    <mergeCell ref="A132:B132"/>
    <mergeCell ref="A98:E98"/>
    <mergeCell ref="A127:B127"/>
    <mergeCell ref="A123:B123"/>
    <mergeCell ref="A124:B124"/>
    <mergeCell ref="A125:B125"/>
    <mergeCell ref="A84:I84"/>
    <mergeCell ref="A69:B69"/>
    <mergeCell ref="A70:B70"/>
    <mergeCell ref="A71:B71"/>
    <mergeCell ref="A72:B72"/>
    <mergeCell ref="A43:B43"/>
    <mergeCell ref="A45:B45"/>
    <mergeCell ref="A76:B76"/>
    <mergeCell ref="A79:B79"/>
    <mergeCell ref="A80:B80"/>
    <mergeCell ref="A81:B81"/>
    <mergeCell ref="A82:B82"/>
    <mergeCell ref="A78:B78"/>
    <mergeCell ref="A83:B83"/>
    <mergeCell ref="D93:E93"/>
    <mergeCell ref="F93:G93"/>
    <mergeCell ref="J91:L91"/>
    <mergeCell ref="A92:I92"/>
    <mergeCell ref="J92:L92"/>
    <mergeCell ref="A88:C89"/>
    <mergeCell ref="D88:E88"/>
    <mergeCell ref="F88:G88"/>
    <mergeCell ref="D89:E89"/>
    <mergeCell ref="F89:G89"/>
    <mergeCell ref="A90:I90"/>
    <mergeCell ref="A91:I91"/>
    <mergeCell ref="L49:L50"/>
    <mergeCell ref="A50:B50"/>
    <mergeCell ref="A86:I86"/>
    <mergeCell ref="J88:K88"/>
    <mergeCell ref="J86:K86"/>
    <mergeCell ref="J90:L90"/>
    <mergeCell ref="A87:I87"/>
    <mergeCell ref="M57:N57"/>
    <mergeCell ref="A51:B51"/>
    <mergeCell ref="A52:B52"/>
    <mergeCell ref="A53:B53"/>
    <mergeCell ref="M53:O53"/>
    <mergeCell ref="A54:B54"/>
    <mergeCell ref="M54:N54"/>
    <mergeCell ref="A65:B65"/>
    <mergeCell ref="A66:B66"/>
    <mergeCell ref="A67:B67"/>
    <mergeCell ref="A68:B68"/>
    <mergeCell ref="A73:B73"/>
    <mergeCell ref="A74:B74"/>
    <mergeCell ref="J84:L84"/>
    <mergeCell ref="A85:I85"/>
    <mergeCell ref="J85:L85"/>
    <mergeCell ref="A75:B75"/>
    <mergeCell ref="M64:N64"/>
    <mergeCell ref="A59:B59"/>
    <mergeCell ref="A60:B60"/>
    <mergeCell ref="M60:N60"/>
    <mergeCell ref="A61:B61"/>
    <mergeCell ref="A62:B62"/>
    <mergeCell ref="A63:B63"/>
    <mergeCell ref="A55:B55"/>
    <mergeCell ref="A56:B56"/>
    <mergeCell ref="A57:B57"/>
    <mergeCell ref="I57:J57"/>
    <mergeCell ref="A33:B33"/>
    <mergeCell ref="D33:I33"/>
    <mergeCell ref="A34:J34"/>
    <mergeCell ref="A35:B35"/>
    <mergeCell ref="A49:B49"/>
    <mergeCell ref="A58:B58"/>
    <mergeCell ref="A64:B64"/>
    <mergeCell ref="A25:F25"/>
    <mergeCell ref="A26:F26"/>
    <mergeCell ref="A27:F27"/>
    <mergeCell ref="A28:F28"/>
    <mergeCell ref="A29:F29"/>
    <mergeCell ref="A30:F30"/>
    <mergeCell ref="A31:F31"/>
    <mergeCell ref="A36:B36"/>
    <mergeCell ref="A37:B37"/>
    <mergeCell ref="A38:B38"/>
    <mergeCell ref="A40:B40"/>
    <mergeCell ref="A41:B41"/>
    <mergeCell ref="C36:G36"/>
    <mergeCell ref="A39:B39"/>
    <mergeCell ref="A44:B44"/>
    <mergeCell ref="A24:F24"/>
    <mergeCell ref="A13:F13"/>
    <mergeCell ref="A14:F14"/>
    <mergeCell ref="A15:F15"/>
    <mergeCell ref="A16:F16"/>
    <mergeCell ref="A17:F17"/>
    <mergeCell ref="A18:F18"/>
    <mergeCell ref="A22:F22"/>
    <mergeCell ref="A23:F23"/>
    <mergeCell ref="G5:J5"/>
    <mergeCell ref="A32:F32"/>
    <mergeCell ref="A128:B128"/>
    <mergeCell ref="A1:J1"/>
    <mergeCell ref="A2:D2"/>
    <mergeCell ref="F2:J2"/>
    <mergeCell ref="B3:D3"/>
    <mergeCell ref="G3:J3"/>
    <mergeCell ref="B4:D4"/>
    <mergeCell ref="G4:J4"/>
    <mergeCell ref="B8:D8"/>
    <mergeCell ref="C9:D9"/>
    <mergeCell ref="F9:G9"/>
    <mergeCell ref="B11:D11"/>
    <mergeCell ref="A12:J12"/>
    <mergeCell ref="B5:D5"/>
    <mergeCell ref="G8:J8"/>
    <mergeCell ref="B6:D6"/>
    <mergeCell ref="G6:J6"/>
    <mergeCell ref="B7:D7"/>
    <mergeCell ref="G7:J7"/>
    <mergeCell ref="A19:F19"/>
    <mergeCell ref="A20:F20"/>
    <mergeCell ref="A21:F21"/>
  </mergeCells>
  <dataValidations count="2">
    <dataValidation operator="equal" allowBlank="1" showErrorMessage="1" errorTitle="Smic minimum" error="attention tatal brut au minimum égal au smic pour 151,67 h" sqref="J33" xr:uid="{D69AD525-8540-4137-8941-90FA71A3D0CE}">
      <formula1>0</formula1>
      <formula2>0</formula2>
    </dataValidation>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D6C531FD-E11B-4021-AF9D-F55D9873F6CB}">
      <formula1>$M$3:$M$5</formula1>
      <formula2>0</formula2>
    </dataValidation>
  </dataValidations>
  <printOptions horizontalCentered="1" verticalCentered="1"/>
  <pageMargins left="0.11811023622047245" right="0.11811023622047245" top="0.35433070866141736" bottom="0.35433070866141736" header="0.31496062992125984" footer="0.31496062992125984"/>
  <pageSetup paperSize="9" scale="70" orientation="portrait" horizontalDpi="4294967293" verticalDpi="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DAFBC-B238-4175-9CCC-0B386826A63D}">
  <dimension ref="B1:I54"/>
  <sheetViews>
    <sheetView topLeftCell="B37" zoomScale="110" zoomScaleNormal="110" workbookViewId="0">
      <selection activeCell="J45" sqref="J45"/>
    </sheetView>
  </sheetViews>
  <sheetFormatPr baseColWidth="10" defaultRowHeight="14.4" x14ac:dyDescent="0.3"/>
  <cols>
    <col min="2" max="2" width="25.5546875" customWidth="1"/>
    <col min="3" max="3" width="22" customWidth="1"/>
    <col min="5" max="5" width="18.88671875" bestFit="1" customWidth="1"/>
  </cols>
  <sheetData>
    <row r="1" spans="2:9" x14ac:dyDescent="0.3">
      <c r="B1" s="58" t="s">
        <v>442</v>
      </c>
    </row>
    <row r="2" spans="2:9" x14ac:dyDescent="0.3">
      <c r="B2" s="58"/>
    </row>
    <row r="3" spans="2:9" s="58" customFormat="1" ht="13.8" x14ac:dyDescent="0.25"/>
    <row r="4" spans="2:9" s="58" customFormat="1" ht="13.8" x14ac:dyDescent="0.25">
      <c r="B4" s="708" t="s">
        <v>443</v>
      </c>
      <c r="E4" s="58" t="s">
        <v>448</v>
      </c>
    </row>
    <row r="5" spans="2:9" s="58" customFormat="1" ht="13.8" x14ac:dyDescent="0.25">
      <c r="B5" s="708"/>
      <c r="D5" s="471"/>
      <c r="E5" s="58" t="s">
        <v>449</v>
      </c>
    </row>
    <row r="6" spans="2:9" s="58" customFormat="1" ht="13.8" x14ac:dyDescent="0.25"/>
    <row r="7" spans="2:9" s="58" customFormat="1" ht="13.8" x14ac:dyDescent="0.25"/>
    <row r="8" spans="2:9" s="58" customFormat="1" ht="13.8" x14ac:dyDescent="0.25">
      <c r="B8" s="735" t="s">
        <v>416</v>
      </c>
      <c r="D8" s="724" t="s">
        <v>418</v>
      </c>
      <c r="E8" s="724"/>
      <c r="F8" s="724"/>
      <c r="G8" s="483">
        <f>'BP VERSION JANVIER 2023'!J33</f>
        <v>1900</v>
      </c>
    </row>
    <row r="9" spans="2:9" s="58" customFormat="1" ht="25.5" customHeight="1" x14ac:dyDescent="0.25">
      <c r="B9" s="735"/>
      <c r="D9" s="478" t="s">
        <v>419</v>
      </c>
      <c r="E9" s="388"/>
      <c r="F9" s="388"/>
      <c r="G9" s="483">
        <f>-'BP VERSION JANVIER 2023'!F73</f>
        <v>-422.80000000000007</v>
      </c>
    </row>
    <row r="10" spans="2:9" s="58" customFormat="1" ht="15" customHeight="1" x14ac:dyDescent="0.25">
      <c r="B10" s="735"/>
      <c r="D10" s="624" t="s">
        <v>438</v>
      </c>
      <c r="E10" s="737"/>
      <c r="F10" s="625"/>
      <c r="G10" s="483">
        <f>-'BP VERSION JANVIER 2023'!F74</f>
        <v>0</v>
      </c>
    </row>
    <row r="11" spans="2:9" s="58" customFormat="1" ht="15" customHeight="1" x14ac:dyDescent="0.25">
      <c r="B11" s="735"/>
      <c r="D11" s="624" t="s">
        <v>56</v>
      </c>
      <c r="E11" s="737"/>
      <c r="F11" s="625"/>
      <c r="G11" s="483">
        <f>'BP VERSION JANVIER 2023'!F75</f>
        <v>0</v>
      </c>
      <c r="I11" s="58" t="s">
        <v>450</v>
      </c>
    </row>
    <row r="12" spans="2:9" s="58" customFormat="1" ht="25.5" customHeight="1" x14ac:dyDescent="0.25">
      <c r="B12" s="735"/>
      <c r="D12" s="624" t="s">
        <v>439</v>
      </c>
      <c r="E12" s="737"/>
      <c r="F12" s="625"/>
      <c r="G12" s="483"/>
    </row>
    <row r="13" spans="2:9" s="58" customFormat="1" ht="13.8" x14ac:dyDescent="0.25">
      <c r="B13" s="735"/>
      <c r="D13" s="730" t="s">
        <v>420</v>
      </c>
      <c r="E13" s="738"/>
      <c r="F13" s="731"/>
      <c r="G13" s="485">
        <f>'BP VERSION JANVIER 2023'!F77</f>
        <v>0</v>
      </c>
    </row>
    <row r="14" spans="2:9" s="58" customFormat="1" ht="13.8" x14ac:dyDescent="0.25">
      <c r="B14" s="735"/>
      <c r="G14" s="472">
        <f>SUM(G8:G13)</f>
        <v>1477.1999999999998</v>
      </c>
      <c r="H14" s="483">
        <f>'BP VERSION JANVIER 2023'!J78</f>
        <v>1477.1999999999998</v>
      </c>
      <c r="I14" s="483">
        <f>'BP FORMAT JUILLET 2023'!J84</f>
        <v>1477.1999999999998</v>
      </c>
    </row>
    <row r="15" spans="2:9" s="58" customFormat="1" ht="13.8" x14ac:dyDescent="0.25">
      <c r="B15" s="477"/>
    </row>
    <row r="16" spans="2:9" s="58" customFormat="1" ht="13.8" x14ac:dyDescent="0.25"/>
    <row r="17" spans="2:9" s="58" customFormat="1" ht="13.8" x14ac:dyDescent="0.25">
      <c r="B17" s="735" t="s">
        <v>62</v>
      </c>
      <c r="D17" s="724" t="s">
        <v>418</v>
      </c>
      <c r="E17" s="724"/>
      <c r="F17" s="724"/>
      <c r="G17" s="483">
        <f>'BP VERSION JANVIER 2023'!J33</f>
        <v>1900</v>
      </c>
    </row>
    <row r="18" spans="2:9" s="58" customFormat="1" ht="13.8" x14ac:dyDescent="0.25">
      <c r="B18" s="735"/>
      <c r="D18" s="690" t="s">
        <v>419</v>
      </c>
      <c r="E18" s="690"/>
      <c r="F18" s="690"/>
      <c r="G18" s="483">
        <f>-'BP VERSION JANVIER 2023'!F73</f>
        <v>-422.80000000000007</v>
      </c>
    </row>
    <row r="19" spans="2:9" s="58" customFormat="1" ht="13.8" x14ac:dyDescent="0.25">
      <c r="B19" s="735"/>
      <c r="D19" s="724" t="s">
        <v>421</v>
      </c>
      <c r="E19" s="724"/>
      <c r="F19" s="724"/>
      <c r="G19" s="483">
        <f>'BP VERSION JANVIER 2023'!G38</f>
        <v>38</v>
      </c>
    </row>
    <row r="20" spans="2:9" s="58" customFormat="1" ht="13.8" x14ac:dyDescent="0.25">
      <c r="B20" s="735"/>
      <c r="D20" s="724" t="s">
        <v>422</v>
      </c>
      <c r="E20" s="724"/>
      <c r="F20" s="724"/>
      <c r="G20" s="483"/>
    </row>
    <row r="21" spans="2:9" s="58" customFormat="1" ht="13.8" x14ac:dyDescent="0.25">
      <c r="B21" s="735"/>
      <c r="D21" s="724" t="s">
        <v>423</v>
      </c>
      <c r="E21" s="724"/>
      <c r="F21" s="724"/>
      <c r="G21" s="483">
        <f>'BP VERSION JANVIER 2023'!F67</f>
        <v>56.34</v>
      </c>
    </row>
    <row r="22" spans="2:9" s="58" customFormat="1" ht="13.8" x14ac:dyDescent="0.25">
      <c r="B22" s="735"/>
      <c r="G22" s="472">
        <f>SUM(G17:G21)</f>
        <v>1571.5399999999997</v>
      </c>
      <c r="H22" s="483">
        <f>'BP VERSION JANVIER 2023'!J87</f>
        <v>1571.54</v>
      </c>
      <c r="I22" s="483">
        <f>'BP FORMAT JUILLET 2023'!J85</f>
        <v>1571.54</v>
      </c>
    </row>
    <row r="23" spans="2:9" s="58" customFormat="1" ht="13.8" x14ac:dyDescent="0.25">
      <c r="B23" s="477"/>
      <c r="G23" s="457"/>
    </row>
    <row r="24" spans="2:9" s="58" customFormat="1" ht="13.8" x14ac:dyDescent="0.25"/>
    <row r="25" spans="2:9" s="58" customFormat="1" ht="13.8" x14ac:dyDescent="0.25">
      <c r="B25" s="736" t="s">
        <v>424</v>
      </c>
      <c r="D25" s="724" t="s">
        <v>62</v>
      </c>
      <c r="E25" s="724"/>
      <c r="F25" s="724"/>
      <c r="G25" s="472">
        <f>'BP VERSION JANVIER 2023'!J87</f>
        <v>1571.54</v>
      </c>
    </row>
    <row r="26" spans="2:9" s="58" customFormat="1" ht="13.8" x14ac:dyDescent="0.25">
      <c r="B26" s="736"/>
      <c r="D26" s="724" t="s">
        <v>440</v>
      </c>
      <c r="E26" s="724"/>
      <c r="F26" s="724"/>
      <c r="G26" s="479"/>
    </row>
    <row r="27" spans="2:9" s="58" customFormat="1" ht="13.8" x14ac:dyDescent="0.25">
      <c r="B27" s="736"/>
      <c r="D27" s="739" t="s">
        <v>441</v>
      </c>
      <c r="E27" s="739"/>
      <c r="F27" s="739"/>
      <c r="G27" s="479"/>
    </row>
    <row r="28" spans="2:9" s="58" customFormat="1" ht="13.8" x14ac:dyDescent="0.25">
      <c r="B28" s="736"/>
      <c r="G28" s="472">
        <f>SUM(G25:G27)</f>
        <v>1571.54</v>
      </c>
      <c r="H28" s="483">
        <f>'BP VERSION JANVIER 2023'!D83</f>
        <v>1571.54</v>
      </c>
      <c r="I28" s="483">
        <f>'BP FORMAT JUILLET 2023'!D89</f>
        <v>1571.54</v>
      </c>
    </row>
    <row r="29" spans="2:9" s="58" customFormat="1" ht="13.8" x14ac:dyDescent="0.25"/>
    <row r="30" spans="2:9" s="58" customFormat="1" ht="13.8" x14ac:dyDescent="0.25">
      <c r="B30" s="735" t="s">
        <v>425</v>
      </c>
    </row>
    <row r="31" spans="2:9" s="58" customFormat="1" ht="13.8" x14ac:dyDescent="0.25">
      <c r="B31" s="735"/>
      <c r="D31" s="724" t="s">
        <v>421</v>
      </c>
      <c r="E31" s="724"/>
      <c r="F31" s="724"/>
      <c r="G31" s="483">
        <f>'BP VERSION JANVIER 2023'!G38</f>
        <v>38</v>
      </c>
    </row>
    <row r="32" spans="2:9" s="58" customFormat="1" ht="13.8" x14ac:dyDescent="0.25">
      <c r="B32" s="735"/>
      <c r="D32" s="724" t="s">
        <v>426</v>
      </c>
      <c r="E32" s="724"/>
      <c r="F32" s="724"/>
      <c r="G32" s="483"/>
    </row>
    <row r="33" spans="2:9" s="58" customFormat="1" ht="13.8" x14ac:dyDescent="0.25">
      <c r="B33" s="735"/>
      <c r="D33" s="724" t="s">
        <v>427</v>
      </c>
      <c r="E33" s="724"/>
      <c r="F33" s="724"/>
      <c r="G33" s="483">
        <f>'BP VERSION JANVIER 2023'!G41</f>
        <v>38</v>
      </c>
    </row>
    <row r="34" spans="2:9" s="58" customFormat="1" ht="13.8" x14ac:dyDescent="0.25">
      <c r="G34" s="472">
        <f>SUM(G31:G33)</f>
        <v>76</v>
      </c>
      <c r="H34" s="479">
        <f>'BP VERSION JANVIER 2023'!C113</f>
        <v>76</v>
      </c>
      <c r="I34" s="479">
        <f>'BP FORMAT JUILLET 2023'!C127</f>
        <v>76</v>
      </c>
    </row>
    <row r="35" spans="2:9" s="58" customFormat="1" ht="13.8" x14ac:dyDescent="0.25">
      <c r="G35" s="457"/>
      <c r="H35" s="456"/>
      <c r="I35" s="456"/>
    </row>
    <row r="36" spans="2:9" s="58" customFormat="1" ht="13.8" x14ac:dyDescent="0.25">
      <c r="B36" s="735" t="s">
        <v>428</v>
      </c>
      <c r="D36" s="724" t="s">
        <v>429</v>
      </c>
      <c r="E36" s="724"/>
      <c r="F36" s="724"/>
      <c r="G36" s="486">
        <f>0.9825*'BP VERSION JANVIER 2023'!J33</f>
        <v>1866.75</v>
      </c>
    </row>
    <row r="37" spans="2:9" s="58" customFormat="1" ht="13.8" x14ac:dyDescent="0.25">
      <c r="B37" s="735"/>
      <c r="D37" s="724" t="s">
        <v>430</v>
      </c>
      <c r="E37" s="724"/>
      <c r="F37" s="724"/>
      <c r="G37" s="486">
        <f>G31+G32</f>
        <v>38</v>
      </c>
    </row>
    <row r="38" spans="2:9" s="58" customFormat="1" ht="13.8" x14ac:dyDescent="0.25">
      <c r="B38" s="735"/>
      <c r="D38" s="724" t="s">
        <v>451</v>
      </c>
      <c r="E38" s="724"/>
      <c r="F38" s="724"/>
      <c r="G38" s="486">
        <f>G33</f>
        <v>38</v>
      </c>
    </row>
    <row r="39" spans="2:9" s="58" customFormat="1" ht="13.8" x14ac:dyDescent="0.25">
      <c r="B39" s="735"/>
      <c r="G39" s="473">
        <f>SUM(G36:G38)</f>
        <v>1942.75</v>
      </c>
      <c r="H39" s="483">
        <f>'BP VERSION JANVIER 2023'!C66</f>
        <v>1942.75</v>
      </c>
      <c r="I39" s="483">
        <f>'BP FORMAT JUILLET 2023'!C66</f>
        <v>1942.75</v>
      </c>
    </row>
    <row r="40" spans="2:9" s="58" customFormat="1" ht="13.8" x14ac:dyDescent="0.25"/>
    <row r="41" spans="2:9" x14ac:dyDescent="0.3">
      <c r="B41" s="58"/>
      <c r="C41" s="388" t="s">
        <v>431</v>
      </c>
      <c r="D41" s="58"/>
      <c r="E41" s="388" t="s">
        <v>432</v>
      </c>
      <c r="F41" s="58"/>
      <c r="G41" s="309" t="s">
        <v>433</v>
      </c>
    </row>
    <row r="42" spans="2:9" s="58" customFormat="1" ht="13.8" x14ac:dyDescent="0.25">
      <c r="B42" s="58" t="s">
        <v>416</v>
      </c>
      <c r="C42" s="472">
        <f>H14</f>
        <v>1477.1999999999998</v>
      </c>
      <c r="E42" s="472">
        <f>I14</f>
        <v>1477.1999999999998</v>
      </c>
      <c r="G42" s="388"/>
    </row>
    <row r="43" spans="2:9" s="58" customFormat="1" ht="13.8" x14ac:dyDescent="0.25">
      <c r="B43" s="58" t="s">
        <v>62</v>
      </c>
      <c r="C43" s="472">
        <f>G22</f>
        <v>1571.5399999999997</v>
      </c>
      <c r="E43" s="472">
        <f>I22</f>
        <v>1571.54</v>
      </c>
      <c r="G43" s="472">
        <v>0</v>
      </c>
    </row>
    <row r="44" spans="2:9" s="58" customFormat="1" ht="13.8" x14ac:dyDescent="0.25">
      <c r="B44" s="58" t="s">
        <v>424</v>
      </c>
      <c r="C44" s="472">
        <f>G28</f>
        <v>1571.54</v>
      </c>
      <c r="E44" s="473">
        <f>I28</f>
        <v>1571.54</v>
      </c>
      <c r="G44" s="472">
        <v>0</v>
      </c>
    </row>
    <row r="45" spans="2:9" s="58" customFormat="1" ht="13.8" x14ac:dyDescent="0.25">
      <c r="B45" s="58" t="s">
        <v>444</v>
      </c>
      <c r="C45" s="472">
        <f>H34</f>
        <v>76</v>
      </c>
      <c r="E45" s="464">
        <f>I34</f>
        <v>76</v>
      </c>
      <c r="G45" s="472">
        <v>0</v>
      </c>
    </row>
    <row r="46" spans="2:9" s="58" customFormat="1" ht="13.8" x14ac:dyDescent="0.25">
      <c r="B46" s="58" t="s">
        <v>434</v>
      </c>
      <c r="C46" s="479">
        <f>'BP VERSION JANVIER 2023'!F73</f>
        <v>422.80000000000007</v>
      </c>
      <c r="E46" s="483">
        <f>'BP FORMAT JUILLET 2023'!F73+'BP FORMAT JUILLET 2023'!F76</f>
        <v>422.80000000000007</v>
      </c>
      <c r="G46" s="472">
        <v>0</v>
      </c>
    </row>
    <row r="47" spans="2:9" x14ac:dyDescent="0.3">
      <c r="B47" s="58" t="s">
        <v>435</v>
      </c>
      <c r="C47" s="481">
        <f>'BP VERSION JANVIER 2023'!G73</f>
        <v>228.02999999999986</v>
      </c>
      <c r="E47" s="481">
        <f>'BP FORMAT JUILLET 2023'!G73+'BP FORMAT JUILLET 2023'!G76</f>
        <v>228.02999999999986</v>
      </c>
      <c r="G47" s="472">
        <v>0</v>
      </c>
    </row>
    <row r="48" spans="2:9" x14ac:dyDescent="0.3">
      <c r="B48" s="58" t="s">
        <v>445</v>
      </c>
      <c r="C48" s="484">
        <f>H39</f>
        <v>1942.75</v>
      </c>
      <c r="E48" s="484">
        <f>I39</f>
        <v>1942.75</v>
      </c>
      <c r="G48" s="472">
        <v>0</v>
      </c>
    </row>
    <row r="49" spans="2:7" x14ac:dyDescent="0.3">
      <c r="B49" s="58" t="s">
        <v>436</v>
      </c>
      <c r="C49" s="481">
        <f>'BP VERSION JANVIER 2023'!G71</f>
        <v>-523.07000000000005</v>
      </c>
      <c r="E49" s="482">
        <f>'BP FORMAT JUILLET 2023'!G71</f>
        <v>-523.07000000000005</v>
      </c>
      <c r="G49" s="472">
        <v>0</v>
      </c>
    </row>
    <row r="50" spans="2:7" x14ac:dyDescent="0.3">
      <c r="B50" s="58" t="s">
        <v>437</v>
      </c>
      <c r="C50" s="482">
        <f>'BP VERSION JANVIER 2023'!J85</f>
        <v>671.2700000000001</v>
      </c>
      <c r="E50" s="480">
        <f>'BP FORMAT JUILLET 2023'!J91</f>
        <v>671.2700000000001</v>
      </c>
      <c r="G50" s="472">
        <v>0</v>
      </c>
    </row>
    <row r="53" spans="2:7" x14ac:dyDescent="0.3">
      <c r="B53" s="58" t="s">
        <v>446</v>
      </c>
    </row>
    <row r="54" spans="2:7" x14ac:dyDescent="0.3">
      <c r="B54" s="58" t="s">
        <v>447</v>
      </c>
    </row>
  </sheetData>
  <mergeCells count="25">
    <mergeCell ref="D36:F36"/>
    <mergeCell ref="D37:F37"/>
    <mergeCell ref="D38:F38"/>
    <mergeCell ref="B36:B39"/>
    <mergeCell ref="D10:F10"/>
    <mergeCell ref="D11:F11"/>
    <mergeCell ref="D12:F12"/>
    <mergeCell ref="D13:F13"/>
    <mergeCell ref="D17:F17"/>
    <mergeCell ref="D18:F18"/>
    <mergeCell ref="D19:F19"/>
    <mergeCell ref="D20:F20"/>
    <mergeCell ref="D21:F21"/>
    <mergeCell ref="D25:F25"/>
    <mergeCell ref="D26:F26"/>
    <mergeCell ref="D27:F27"/>
    <mergeCell ref="D31:F31"/>
    <mergeCell ref="D32:F32"/>
    <mergeCell ref="D33:F33"/>
    <mergeCell ref="B4:B5"/>
    <mergeCell ref="B8:B14"/>
    <mergeCell ref="B17:B22"/>
    <mergeCell ref="B25:B28"/>
    <mergeCell ref="B30:B33"/>
    <mergeCell ref="D8:F8"/>
  </mergeCells>
  <pageMargins left="0.51181102362204722" right="0.11811023622047245" top="0" bottom="0" header="0.31496062992125984" footer="0.31496062992125984"/>
  <pageSetup paperSize="9" scale="70" orientation="landscape" horizontalDpi="4294967293"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217"/>
  <sheetViews>
    <sheetView topLeftCell="A60" zoomScale="140" zoomScaleNormal="140" workbookViewId="0">
      <selection activeCell="G73" sqref="G73"/>
    </sheetView>
  </sheetViews>
  <sheetFormatPr baseColWidth="10" defaultRowHeight="14.4" x14ac:dyDescent="0.3"/>
  <cols>
    <col min="1" max="2" width="18.33203125" customWidth="1"/>
    <col min="3" max="4" width="13.44140625" customWidth="1"/>
    <col min="5" max="5" width="10.88671875" customWidth="1"/>
    <col min="6" max="6" width="12.6640625" customWidth="1"/>
    <col min="7" max="7" width="13.109375" customWidth="1"/>
    <col min="8" max="8" width="8.6640625" customWidth="1"/>
    <col min="9" max="9" width="15.33203125" customWidth="1"/>
    <col min="10" max="10" width="10" customWidth="1"/>
    <col min="11" max="11" width="7.33203125" customWidth="1"/>
    <col min="12" max="12" width="0.109375" customWidth="1"/>
    <col min="13" max="13" width="7.5546875" customWidth="1"/>
    <col min="14" max="14" width="9.33203125" customWidth="1"/>
  </cols>
  <sheetData>
    <row r="1" spans="1:10" s="24" customFormat="1" ht="15.75" customHeight="1" x14ac:dyDescent="0.3">
      <c r="A1" s="634" t="s">
        <v>238</v>
      </c>
      <c r="B1" s="634"/>
      <c r="C1" s="634"/>
      <c r="D1" s="634"/>
      <c r="E1" s="634"/>
      <c r="F1" s="634"/>
      <c r="G1" s="634"/>
      <c r="H1" s="635"/>
      <c r="I1" s="635"/>
      <c r="J1" s="635"/>
    </row>
    <row r="2" spans="1:10" s="24" customFormat="1" ht="15.75" customHeight="1" x14ac:dyDescent="0.3">
      <c r="A2" s="636" t="s">
        <v>0</v>
      </c>
      <c r="B2" s="637"/>
      <c r="C2" s="637"/>
      <c r="D2" s="638"/>
      <c r="E2" s="312"/>
      <c r="F2" s="639" t="s">
        <v>1</v>
      </c>
      <c r="G2" s="640"/>
      <c r="H2" s="640"/>
      <c r="I2" s="640"/>
      <c r="J2" s="641"/>
    </row>
    <row r="3" spans="1:10" s="24" customFormat="1" ht="15.75" customHeight="1" x14ac:dyDescent="0.25">
      <c r="A3" s="313" t="s">
        <v>2</v>
      </c>
      <c r="B3" s="642" t="str">
        <f>'MASQUE DE SAISIE '!G4</f>
        <v xml:space="preserve">Pharmacie L et D  de GAALON </v>
      </c>
      <c r="C3" s="643"/>
      <c r="D3" s="644"/>
      <c r="E3" s="314"/>
      <c r="F3" s="315" t="s">
        <v>2</v>
      </c>
      <c r="G3" s="629" t="str">
        <f>'MASQUE DE SAISIE '!E26</f>
        <v xml:space="preserve">MARTINO </v>
      </c>
      <c r="H3" s="629"/>
      <c r="I3" s="629"/>
      <c r="J3" s="629"/>
    </row>
    <row r="4" spans="1:10" s="24" customFormat="1" ht="15.75" customHeight="1" x14ac:dyDescent="0.25">
      <c r="A4" s="313" t="s">
        <v>3</v>
      </c>
      <c r="B4" s="642" t="str">
        <f>'MASQUE DE SAISIE '!G5</f>
        <v xml:space="preserve">29 Rue Clémenceau  22430 Erquy </v>
      </c>
      <c r="C4" s="643"/>
      <c r="D4" s="644"/>
      <c r="E4" s="314"/>
      <c r="F4" s="315" t="s">
        <v>4</v>
      </c>
      <c r="G4" s="629" t="str">
        <f>'MASQUE DE SAISIE '!E27</f>
        <v>Rassa</v>
      </c>
      <c r="H4" s="629"/>
      <c r="I4" s="629"/>
      <c r="J4" s="629"/>
    </row>
    <row r="5" spans="1:10" s="24" customFormat="1" ht="15.75" customHeight="1" x14ac:dyDescent="0.25">
      <c r="A5" s="313"/>
      <c r="B5" s="626"/>
      <c r="C5" s="627"/>
      <c r="D5" s="628"/>
      <c r="E5" s="314"/>
      <c r="F5" s="315" t="s">
        <v>5</v>
      </c>
      <c r="G5" s="629" t="str">
        <f>'MASQUE DE SAISIE '!E29</f>
        <v>Préparatrice en Pharmacie</v>
      </c>
      <c r="H5" s="629"/>
      <c r="I5" s="629"/>
      <c r="J5" s="629"/>
    </row>
    <row r="6" spans="1:10" s="24" customFormat="1" ht="15.75" customHeight="1" x14ac:dyDescent="0.25">
      <c r="A6" s="313" t="s">
        <v>6</v>
      </c>
      <c r="B6" s="630">
        <f>'MASQUE DE SAISIE '!G6</f>
        <v>4980785750020</v>
      </c>
      <c r="C6" s="631"/>
      <c r="D6" s="632"/>
      <c r="E6" s="316"/>
      <c r="F6" s="315" t="s">
        <v>7</v>
      </c>
      <c r="G6" s="629">
        <f>'MASQUE DE SAISIE '!E30</f>
        <v>290</v>
      </c>
      <c r="H6" s="629"/>
      <c r="I6" s="629"/>
      <c r="J6" s="629"/>
    </row>
    <row r="7" spans="1:10" s="24" customFormat="1" ht="15.75" customHeight="1" x14ac:dyDescent="0.25">
      <c r="A7" s="313" t="s">
        <v>8</v>
      </c>
      <c r="B7" s="626" t="str">
        <f>'MASQUE DE SAISIE '!G7</f>
        <v>4773Z</v>
      </c>
      <c r="C7" s="627"/>
      <c r="D7" s="628"/>
      <c r="E7" s="314"/>
      <c r="F7" s="315" t="s">
        <v>9</v>
      </c>
      <c r="G7" s="633" t="str">
        <f>'MASQUE DE SAISIE '!E31</f>
        <v>2.96.02.297.820. 957</v>
      </c>
      <c r="H7" s="633"/>
      <c r="I7" s="633"/>
      <c r="J7" s="633"/>
    </row>
    <row r="8" spans="1:10" s="24" customFormat="1" ht="15.75" customHeight="1" x14ac:dyDescent="0.25">
      <c r="A8" s="313" t="s">
        <v>10</v>
      </c>
      <c r="B8" s="630"/>
      <c r="C8" s="631"/>
      <c r="D8" s="632"/>
      <c r="E8" s="316"/>
      <c r="F8" s="317" t="s">
        <v>3</v>
      </c>
      <c r="G8" s="629" t="str">
        <f>'MASQUE DE SAISIE '!E28</f>
        <v xml:space="preserve">2 Avenue du Val Fleuri 22520 Binic </v>
      </c>
      <c r="H8" s="629"/>
      <c r="I8" s="629"/>
      <c r="J8" s="629"/>
    </row>
    <row r="9" spans="1:10" s="24" customFormat="1" ht="15.75" customHeight="1" x14ac:dyDescent="0.25">
      <c r="A9" s="313" t="s">
        <v>11</v>
      </c>
      <c r="B9" s="318">
        <f>'MASQUE DE SAISIE '!G9</f>
        <v>40</v>
      </c>
      <c r="C9" s="645" t="str">
        <f>IF('MASQUE DE SAISIE '!E34 = "","",'MASQUE DE SAISIE '!E34 )</f>
        <v/>
      </c>
      <c r="D9" s="628"/>
      <c r="E9" s="314"/>
      <c r="F9" s="646" t="s">
        <v>12</v>
      </c>
      <c r="G9" s="647"/>
      <c r="H9" s="319"/>
      <c r="I9" s="320">
        <f>'MASQUE DE SAISIE '!E33</f>
        <v>2</v>
      </c>
      <c r="J9" s="320" t="str">
        <f>'MASQUE DE SAISIE '!E32</f>
        <v>C</v>
      </c>
    </row>
    <row r="10" spans="1:10" s="24" customFormat="1" ht="15.75" customHeight="1" x14ac:dyDescent="0.25">
      <c r="A10" s="322" t="s">
        <v>13</v>
      </c>
      <c r="B10" s="323">
        <f>'MASQUE DE SAISIE '!E46</f>
        <v>151.66999999999999</v>
      </c>
      <c r="C10" s="320" t="s">
        <v>14</v>
      </c>
      <c r="D10" s="432">
        <f>'MASQUE DE SAISIE '!E43</f>
        <v>11.88</v>
      </c>
      <c r="E10" s="314"/>
      <c r="F10" s="626" t="s">
        <v>239</v>
      </c>
      <c r="G10" s="628"/>
      <c r="H10" s="373">
        <f>'MASQUE DE SAISIE '!E38</f>
        <v>45931</v>
      </c>
      <c r="I10" s="324" t="s">
        <v>15</v>
      </c>
      <c r="J10" s="373">
        <f>'MASQUE DE SAISIE '!E39</f>
        <v>45961</v>
      </c>
    </row>
    <row r="11" spans="1:10" s="24" customFormat="1" ht="33.75" customHeight="1" x14ac:dyDescent="0.25">
      <c r="A11" s="325"/>
      <c r="B11" s="616" t="s">
        <v>312</v>
      </c>
      <c r="C11" s="617"/>
      <c r="D11" s="618"/>
      <c r="E11" s="326"/>
      <c r="F11" s="325" t="s">
        <v>16</v>
      </c>
      <c r="G11" s="378">
        <f>'MASQUE DE SAISIE '!E39</f>
        <v>45961</v>
      </c>
      <c r="H11" s="64"/>
      <c r="I11" s="64"/>
      <c r="J11" s="379"/>
    </row>
    <row r="12" spans="1:10" s="24" customFormat="1" ht="15.75" customHeight="1" x14ac:dyDescent="0.25">
      <c r="A12" s="619"/>
      <c r="B12" s="620"/>
      <c r="C12" s="620"/>
      <c r="D12" s="620"/>
      <c r="E12" s="620"/>
      <c r="F12" s="620"/>
      <c r="G12" s="620"/>
      <c r="H12" s="620"/>
      <c r="I12" s="620"/>
      <c r="J12" s="620"/>
    </row>
    <row r="13" spans="1:10" s="24" customFormat="1" ht="19.2" customHeight="1" x14ac:dyDescent="0.25">
      <c r="A13" s="621" t="s">
        <v>17</v>
      </c>
      <c r="B13" s="622"/>
      <c r="C13" s="622"/>
      <c r="D13" s="622"/>
      <c r="E13" s="622"/>
      <c r="F13" s="623"/>
      <c r="G13" s="328">
        <f>+'MASQUE DE SAISIE '!E46</f>
        <v>151.66999999999999</v>
      </c>
      <c r="H13" s="325" t="s">
        <v>18</v>
      </c>
      <c r="I13" s="329">
        <f>J13/G13</f>
        <v>12.527197204457046</v>
      </c>
      <c r="J13" s="330">
        <f>'MASQUE DE SAISIE '!E41</f>
        <v>1900</v>
      </c>
    </row>
    <row r="14" spans="1:10" s="24" customFormat="1" ht="15.6" hidden="1" customHeight="1" x14ac:dyDescent="0.25">
      <c r="A14" s="621" t="s">
        <v>240</v>
      </c>
      <c r="B14" s="622"/>
      <c r="C14" s="622"/>
      <c r="D14" s="622"/>
      <c r="E14" s="622"/>
      <c r="F14" s="623"/>
      <c r="G14" s="325"/>
      <c r="H14" s="325"/>
      <c r="I14" s="329"/>
      <c r="J14" s="330"/>
    </row>
    <row r="15" spans="1:10" s="24" customFormat="1" ht="15.6" hidden="1" customHeight="1" x14ac:dyDescent="0.25">
      <c r="A15" s="621" t="s">
        <v>413</v>
      </c>
      <c r="B15" s="622"/>
      <c r="C15" s="622"/>
      <c r="D15" s="622"/>
      <c r="E15" s="622"/>
      <c r="F15" s="623"/>
      <c r="G15" s="331"/>
      <c r="H15" s="332"/>
      <c r="I15" s="329"/>
      <c r="J15" s="330"/>
    </row>
    <row r="16" spans="1:10" s="24" customFormat="1" ht="15.6" hidden="1" customHeight="1" x14ac:dyDescent="0.25">
      <c r="A16" s="621" t="s">
        <v>414</v>
      </c>
      <c r="B16" s="622"/>
      <c r="C16" s="622"/>
      <c r="D16" s="622"/>
      <c r="E16" s="622"/>
      <c r="F16" s="623"/>
      <c r="G16" s="331"/>
      <c r="H16" s="332"/>
      <c r="I16" s="329"/>
      <c r="J16" s="330"/>
    </row>
    <row r="17" spans="1:10" s="24" customFormat="1" ht="15.6" hidden="1" customHeight="1" x14ac:dyDescent="0.25">
      <c r="A17" s="621" t="s">
        <v>19</v>
      </c>
      <c r="B17" s="622"/>
      <c r="C17" s="622"/>
      <c r="D17" s="622"/>
      <c r="E17" s="622"/>
      <c r="F17" s="623"/>
      <c r="G17" s="331"/>
      <c r="H17" s="332" t="s">
        <v>18</v>
      </c>
      <c r="I17" s="329"/>
      <c r="J17" s="330"/>
    </row>
    <row r="18" spans="1:10" s="24" customFormat="1" ht="15.6" hidden="1" customHeight="1" x14ac:dyDescent="0.25">
      <c r="A18" s="621" t="s">
        <v>241</v>
      </c>
      <c r="B18" s="622"/>
      <c r="C18" s="622"/>
      <c r="D18" s="622"/>
      <c r="E18" s="622"/>
      <c r="F18" s="623"/>
      <c r="G18" s="331"/>
      <c r="H18" s="332" t="s">
        <v>18</v>
      </c>
      <c r="I18" s="329"/>
      <c r="J18" s="330">
        <f t="shared" ref="J18:J21" si="0">ROUND(G18*I18,2)</f>
        <v>0</v>
      </c>
    </row>
    <row r="19" spans="1:10" s="24" customFormat="1" ht="15.6" hidden="1" customHeight="1" x14ac:dyDescent="0.25">
      <c r="A19" s="621" t="s">
        <v>242</v>
      </c>
      <c r="B19" s="622"/>
      <c r="C19" s="622"/>
      <c r="D19" s="622"/>
      <c r="E19" s="622"/>
      <c r="F19" s="623"/>
      <c r="G19" s="331"/>
      <c r="H19" s="332" t="s">
        <v>18</v>
      </c>
      <c r="I19" s="329"/>
      <c r="J19" s="330">
        <f t="shared" si="0"/>
        <v>0</v>
      </c>
    </row>
    <row r="20" spans="1:10" s="24" customFormat="1" ht="15.6" hidden="1" customHeight="1" x14ac:dyDescent="0.25">
      <c r="A20" s="621" t="s">
        <v>243</v>
      </c>
      <c r="B20" s="622"/>
      <c r="C20" s="622"/>
      <c r="D20" s="622"/>
      <c r="E20" s="622"/>
      <c r="F20" s="623"/>
      <c r="G20" s="331"/>
      <c r="H20" s="332" t="s">
        <v>18</v>
      </c>
      <c r="I20" s="329"/>
      <c r="J20" s="330">
        <f t="shared" si="0"/>
        <v>0</v>
      </c>
    </row>
    <row r="21" spans="1:10" s="24" customFormat="1" ht="15.6" hidden="1" customHeight="1" x14ac:dyDescent="0.25">
      <c r="A21" s="621" t="s">
        <v>244</v>
      </c>
      <c r="B21" s="622"/>
      <c r="C21" s="622"/>
      <c r="D21" s="622"/>
      <c r="E21" s="622"/>
      <c r="F21" s="623"/>
      <c r="G21" s="462">
        <f>'MASQUE DE SAISIE '!E45</f>
        <v>0</v>
      </c>
      <c r="H21" s="332" t="s">
        <v>18</v>
      </c>
      <c r="I21" s="329">
        <f>ROUND(((J13+J16)*1.25/G13),6)</f>
        <v>15.658996999999999</v>
      </c>
      <c r="J21" s="330">
        <f t="shared" si="0"/>
        <v>0</v>
      </c>
    </row>
    <row r="22" spans="1:10" s="24" customFormat="1" ht="15.6" hidden="1" customHeight="1" x14ac:dyDescent="0.25">
      <c r="A22" s="621" t="s">
        <v>245</v>
      </c>
      <c r="B22" s="622"/>
      <c r="C22" s="622"/>
      <c r="D22" s="622"/>
      <c r="E22" s="622"/>
      <c r="F22" s="623"/>
      <c r="G22" s="331"/>
      <c r="H22" s="332" t="s">
        <v>20</v>
      </c>
      <c r="I22" s="325"/>
      <c r="J22" s="330"/>
    </row>
    <row r="23" spans="1:10" s="24" customFormat="1" ht="15.6" hidden="1" customHeight="1" x14ac:dyDescent="0.25">
      <c r="A23" s="621" t="s">
        <v>457</v>
      </c>
      <c r="B23" s="622"/>
      <c r="C23" s="622"/>
      <c r="D23" s="622"/>
      <c r="E23" s="622"/>
      <c r="F23" s="623"/>
      <c r="G23" s="327"/>
      <c r="H23" s="333"/>
      <c r="I23" s="321"/>
      <c r="J23" s="334"/>
    </row>
    <row r="24" spans="1:10" s="24" customFormat="1" ht="15.6" hidden="1" customHeight="1" x14ac:dyDescent="0.25">
      <c r="A24" s="621" t="s">
        <v>21</v>
      </c>
      <c r="B24" s="622"/>
      <c r="C24" s="622"/>
      <c r="D24" s="622"/>
      <c r="E24" s="622"/>
      <c r="F24" s="623"/>
      <c r="G24" s="327"/>
      <c r="H24" s="333"/>
      <c r="I24" s="321"/>
      <c r="J24" s="334"/>
    </row>
    <row r="25" spans="1:10" s="24" customFormat="1" ht="15.6" hidden="1" customHeight="1" x14ac:dyDescent="0.25">
      <c r="A25" s="621" t="s">
        <v>22</v>
      </c>
      <c r="B25" s="622"/>
      <c r="C25" s="622"/>
      <c r="D25" s="622"/>
      <c r="E25" s="622"/>
      <c r="F25" s="623"/>
      <c r="G25" s="327"/>
      <c r="H25" s="333"/>
      <c r="I25" s="321"/>
      <c r="J25" s="334"/>
    </row>
    <row r="26" spans="1:10" s="24" customFormat="1" ht="15.6" hidden="1" customHeight="1" x14ac:dyDescent="0.25">
      <c r="A26" s="608" t="s">
        <v>23</v>
      </c>
      <c r="B26" s="609"/>
      <c r="C26" s="609"/>
      <c r="D26" s="609"/>
      <c r="E26" s="609"/>
      <c r="F26" s="610"/>
      <c r="G26" s="327"/>
      <c r="H26" s="333"/>
      <c r="I26" s="321"/>
      <c r="J26" s="334"/>
    </row>
    <row r="27" spans="1:10" s="24" customFormat="1" ht="15.6" hidden="1" customHeight="1" x14ac:dyDescent="0.25">
      <c r="A27" s="608" t="s">
        <v>24</v>
      </c>
      <c r="B27" s="609"/>
      <c r="C27" s="609"/>
      <c r="D27" s="609"/>
      <c r="E27" s="609"/>
      <c r="F27" s="610"/>
      <c r="G27" s="327"/>
      <c r="H27" s="333"/>
      <c r="I27" s="321"/>
      <c r="J27" s="334"/>
    </row>
    <row r="28" spans="1:10" s="24" customFormat="1" ht="15.6" hidden="1" customHeight="1" x14ac:dyDescent="0.25">
      <c r="A28" s="608" t="s">
        <v>25</v>
      </c>
      <c r="B28" s="609"/>
      <c r="C28" s="609"/>
      <c r="D28" s="609"/>
      <c r="E28" s="609"/>
      <c r="F28" s="610"/>
      <c r="G28" s="327"/>
      <c r="H28" s="333"/>
      <c r="I28" s="321"/>
      <c r="J28" s="334"/>
    </row>
    <row r="29" spans="1:10" s="24" customFormat="1" ht="15.6" hidden="1" customHeight="1" x14ac:dyDescent="0.25">
      <c r="A29" s="608" t="s">
        <v>26</v>
      </c>
      <c r="B29" s="609"/>
      <c r="C29" s="609"/>
      <c r="D29" s="609"/>
      <c r="E29" s="609"/>
      <c r="F29" s="610"/>
      <c r="G29" s="327"/>
      <c r="H29" s="333"/>
      <c r="I29" s="321"/>
      <c r="J29" s="334"/>
    </row>
    <row r="30" spans="1:10" s="24" customFormat="1" ht="15.6" hidden="1" customHeight="1" x14ac:dyDescent="0.25">
      <c r="A30" s="608" t="s">
        <v>27</v>
      </c>
      <c r="B30" s="609"/>
      <c r="C30" s="609"/>
      <c r="D30" s="609"/>
      <c r="E30" s="609"/>
      <c r="F30" s="610"/>
      <c r="G30" s="327"/>
      <c r="H30" s="333"/>
      <c r="I30" s="321"/>
      <c r="J30" s="334"/>
    </row>
    <row r="31" spans="1:10" s="24" customFormat="1" ht="15.6" hidden="1" customHeight="1" x14ac:dyDescent="0.25">
      <c r="A31" s="608" t="s">
        <v>28</v>
      </c>
      <c r="B31" s="609"/>
      <c r="C31" s="609"/>
      <c r="D31" s="609"/>
      <c r="E31" s="609"/>
      <c r="F31" s="610"/>
      <c r="G31" s="327"/>
      <c r="H31" s="333"/>
      <c r="I31" s="321"/>
      <c r="J31" s="334"/>
    </row>
    <row r="32" spans="1:10" s="24" customFormat="1" ht="15.6" hidden="1" customHeight="1" x14ac:dyDescent="0.25">
      <c r="A32" s="608"/>
      <c r="B32" s="609"/>
      <c r="C32" s="609"/>
      <c r="D32" s="609"/>
      <c r="E32" s="609"/>
      <c r="F32" s="610"/>
      <c r="G32" s="327"/>
      <c r="H32" s="333"/>
      <c r="I32" s="321"/>
      <c r="J32" s="334"/>
    </row>
    <row r="33" spans="1:16" s="24" customFormat="1" ht="15.6" hidden="1" customHeight="1" x14ac:dyDescent="0.3">
      <c r="A33" s="611" t="s">
        <v>29</v>
      </c>
      <c r="B33" s="612"/>
      <c r="C33" s="335">
        <f>'MASQUE DE SAISIE '!E44</f>
        <v>3925</v>
      </c>
      <c r="D33" s="613" t="s">
        <v>30</v>
      </c>
      <c r="E33" s="613"/>
      <c r="F33" s="613"/>
      <c r="G33" s="613"/>
      <c r="H33" s="613"/>
      <c r="I33" s="613"/>
      <c r="J33" s="435">
        <f>SUM(J13:J32)</f>
        <v>1900</v>
      </c>
    </row>
    <row r="34" spans="1:16" s="20" customFormat="1" ht="24" customHeight="1" x14ac:dyDescent="0.25">
      <c r="A34" s="614" t="s">
        <v>31</v>
      </c>
      <c r="B34" s="614"/>
      <c r="C34" s="56" t="s">
        <v>32</v>
      </c>
      <c r="D34" s="380" t="s">
        <v>33</v>
      </c>
      <c r="E34" s="380" t="s">
        <v>34</v>
      </c>
      <c r="F34" s="381" t="s">
        <v>35</v>
      </c>
      <c r="G34" s="381" t="s">
        <v>36</v>
      </c>
      <c r="I34" s="21"/>
      <c r="J34" s="21"/>
      <c r="K34" s="22"/>
    </row>
    <row r="35" spans="1:16" ht="12" customHeight="1" x14ac:dyDescent="0.3">
      <c r="A35" s="615" t="s">
        <v>37</v>
      </c>
      <c r="B35" s="615"/>
      <c r="C35" s="1"/>
      <c r="D35" s="3"/>
      <c r="E35" s="3"/>
      <c r="F35" s="1"/>
      <c r="G35" s="1"/>
    </row>
    <row r="36" spans="1:16" ht="17.399999999999999" customHeight="1" x14ac:dyDescent="0.3">
      <c r="A36" s="590" t="s">
        <v>86</v>
      </c>
      <c r="B36" s="590"/>
      <c r="C36" s="13">
        <f>J33</f>
        <v>1900</v>
      </c>
      <c r="D36" s="33"/>
      <c r="E36" s="34">
        <f t="shared" ref="E36:E37" si="1" xml:space="preserve"> VLOOKUP(A36,TAUX2023,4,FALSE)</f>
        <v>7.0000000000000007E-2</v>
      </c>
      <c r="F36" s="40">
        <f>ROUND(C36*D36,2)</f>
        <v>0</v>
      </c>
      <c r="G36" s="40">
        <f>ROUND(C36*E36,2)</f>
        <v>133</v>
      </c>
      <c r="H36" s="512"/>
      <c r="I36" s="512"/>
      <c r="J36" s="2"/>
      <c r="O36" s="603"/>
      <c r="P36" s="603"/>
    </row>
    <row r="37" spans="1:16" ht="17.399999999999999" customHeight="1" x14ac:dyDescent="0.3">
      <c r="A37" s="590" t="s">
        <v>206</v>
      </c>
      <c r="B37" s="590"/>
      <c r="C37" s="39">
        <f>IF(J33&gt;2.25*B10*'TABLE DES TAUX 2025 '!D53,J33,0)</f>
        <v>0</v>
      </c>
      <c r="D37" s="169"/>
      <c r="E37" s="34">
        <f t="shared" si="1"/>
        <v>0.06</v>
      </c>
      <c r="F37" s="40">
        <f t="shared" ref="F37:F67" si="2">ROUND(C37*D37,2)</f>
        <v>0</v>
      </c>
      <c r="G37" s="13">
        <f t="shared" ref="G37:G70" si="3">ROUND(C37*E37,2)</f>
        <v>0</v>
      </c>
      <c r="H37" s="512"/>
      <c r="I37" s="512"/>
      <c r="O37" s="603"/>
      <c r="P37" s="603"/>
    </row>
    <row r="38" spans="1:16" ht="17.399999999999999" customHeight="1" x14ac:dyDescent="0.3">
      <c r="A38" s="604" t="s">
        <v>202</v>
      </c>
      <c r="B38" s="605"/>
      <c r="C38" s="13">
        <f>IF(I9=2,J33,0)</f>
        <v>1900</v>
      </c>
      <c r="D38" s="33">
        <f>'MASQUE DE SAISIE '!G15</f>
        <v>0.01</v>
      </c>
      <c r="E38" s="33">
        <f>'MASQUE DE SAISIE '!H15</f>
        <v>0.02</v>
      </c>
      <c r="F38" s="40">
        <f t="shared" si="2"/>
        <v>19</v>
      </c>
      <c r="G38" s="13">
        <f t="shared" si="3"/>
        <v>38</v>
      </c>
      <c r="H38" s="24"/>
      <c r="I38" s="2"/>
      <c r="O38" s="603"/>
      <c r="P38" s="603"/>
    </row>
    <row r="39" spans="1:16" ht="18.75" hidden="1" customHeight="1" x14ac:dyDescent="0.3">
      <c r="A39" s="604" t="s">
        <v>256</v>
      </c>
      <c r="B39" s="605"/>
      <c r="C39" s="40">
        <f>IF(I9=2,0,J33)</f>
        <v>0</v>
      </c>
      <c r="D39" s="33">
        <f>'MASQUE DE SAISIE '!G12</f>
        <v>0.01</v>
      </c>
      <c r="E39" s="33">
        <f>'MASQUE DE SAISIE '!H12</f>
        <v>0.02</v>
      </c>
      <c r="F39" s="40">
        <f t="shared" si="2"/>
        <v>0</v>
      </c>
      <c r="G39" s="13">
        <f t="shared" si="3"/>
        <v>0</v>
      </c>
      <c r="H39" s="24"/>
      <c r="I39" s="2"/>
      <c r="O39" s="603"/>
      <c r="P39" s="603"/>
    </row>
    <row r="40" spans="1:16" ht="18.75" hidden="1" customHeight="1" x14ac:dyDescent="0.3">
      <c r="A40" s="604" t="s">
        <v>260</v>
      </c>
      <c r="B40" s="605"/>
      <c r="C40" s="40">
        <f>C39</f>
        <v>0</v>
      </c>
      <c r="D40" s="33">
        <f>'MASQUE DE SAISIE '!G13</f>
        <v>0</v>
      </c>
      <c r="E40" s="33">
        <f>'MASQUE DE SAISIE '!H13</f>
        <v>0.02</v>
      </c>
      <c r="F40" s="40">
        <f t="shared" si="2"/>
        <v>0</v>
      </c>
      <c r="G40" s="13">
        <f t="shared" si="3"/>
        <v>0</v>
      </c>
      <c r="H40" s="24"/>
      <c r="I40" s="2"/>
      <c r="O40" s="603"/>
      <c r="P40" s="603"/>
    </row>
    <row r="41" spans="1:16" ht="22.8" customHeight="1" x14ac:dyDescent="0.3">
      <c r="A41" s="604" t="s">
        <v>261</v>
      </c>
      <c r="B41" s="605"/>
      <c r="C41" s="13">
        <f>C38</f>
        <v>1900</v>
      </c>
      <c r="D41" s="33">
        <f>'MASQUE DE SAISIE '!G16</f>
        <v>0</v>
      </c>
      <c r="E41" s="33">
        <f>+'MASQUE DE SAISIE '!H16</f>
        <v>0.02</v>
      </c>
      <c r="F41" s="40">
        <f t="shared" si="2"/>
        <v>0</v>
      </c>
      <c r="G41" s="13">
        <f t="shared" si="3"/>
        <v>38</v>
      </c>
      <c r="H41" s="508"/>
      <c r="I41" s="24"/>
      <c r="J41" s="42"/>
      <c r="O41" s="603"/>
      <c r="P41" s="603"/>
    </row>
    <row r="42" spans="1:16" ht="22.8" customHeight="1" x14ac:dyDescent="0.3">
      <c r="A42" s="590" t="s">
        <v>207</v>
      </c>
      <c r="B42" s="590"/>
      <c r="C42" s="40">
        <f>IF(I9=2,IF(E41=0,IF(J33&gt;C33,C33,J33),0),0)</f>
        <v>0</v>
      </c>
      <c r="D42" s="33"/>
      <c r="E42" s="34">
        <f>'MASQUE DE SAISIE '!H18</f>
        <v>0</v>
      </c>
      <c r="F42" s="40">
        <f>ROUND(C42*D42,2)</f>
        <v>0</v>
      </c>
      <c r="G42" s="13">
        <f>ROUND(C42*E42,2)</f>
        <v>0</v>
      </c>
      <c r="H42" s="508"/>
      <c r="I42" s="24"/>
      <c r="J42" s="42"/>
      <c r="O42" s="184"/>
      <c r="P42" s="184"/>
    </row>
    <row r="43" spans="1:16" ht="22.8" customHeight="1" x14ac:dyDescent="0.3">
      <c r="A43" s="597" t="s">
        <v>407</v>
      </c>
      <c r="B43" s="597"/>
      <c r="C43" s="221">
        <f>J33</f>
        <v>1900</v>
      </c>
      <c r="D43" s="33">
        <f>'MASQUE DE SAISIE '!G17</f>
        <v>0</v>
      </c>
      <c r="E43" s="34">
        <f>+'MASQUE DE SAISIE '!H17</f>
        <v>0</v>
      </c>
      <c r="F43" s="40">
        <f>ROUND(C43*D43,2)</f>
        <v>0</v>
      </c>
      <c r="G43" s="13">
        <f>ROUND(C43*E43,2)</f>
        <v>0</v>
      </c>
      <c r="H43" s="508"/>
      <c r="I43" s="24"/>
      <c r="J43" s="42"/>
      <c r="O43" s="184"/>
      <c r="P43" s="184"/>
    </row>
    <row r="44" spans="1:16" ht="21.6" hidden="1" customHeight="1" x14ac:dyDescent="0.3">
      <c r="A44" s="606"/>
      <c r="B44" s="607"/>
      <c r="C44" s="4"/>
      <c r="D44" s="4"/>
      <c r="E44" s="4"/>
      <c r="F44" s="4"/>
      <c r="G44" s="4"/>
      <c r="H44" s="508"/>
      <c r="I44" s="24"/>
      <c r="J44" s="24"/>
      <c r="O44" s="603"/>
      <c r="P44" s="603"/>
    </row>
    <row r="45" spans="1:16" ht="21.6" hidden="1" customHeight="1" x14ac:dyDescent="0.3">
      <c r="A45" s="588"/>
      <c r="B45" s="588"/>
      <c r="C45" s="13"/>
      <c r="D45" s="33"/>
      <c r="E45" s="34"/>
      <c r="F45" s="40"/>
      <c r="G45" s="13"/>
      <c r="H45" s="508"/>
      <c r="I45" s="24"/>
      <c r="J45" s="24"/>
      <c r="O45" s="603"/>
      <c r="P45" s="603"/>
    </row>
    <row r="46" spans="1:16" ht="21.6" hidden="1" customHeight="1" x14ac:dyDescent="0.3">
      <c r="A46" s="588"/>
      <c r="B46" s="588"/>
      <c r="C46" s="13"/>
      <c r="D46" s="33"/>
      <c r="E46" s="34"/>
      <c r="F46" s="40"/>
      <c r="G46" s="13"/>
      <c r="H46" s="508"/>
      <c r="I46" s="24"/>
      <c r="J46" s="24"/>
      <c r="O46" s="603"/>
      <c r="P46" s="603"/>
    </row>
    <row r="47" spans="1:16" ht="22.8" customHeight="1" x14ac:dyDescent="0.3">
      <c r="A47" s="591" t="s">
        <v>38</v>
      </c>
      <c r="B47" s="591"/>
      <c r="C47" s="15">
        <f>J33</f>
        <v>1900</v>
      </c>
      <c r="D47" s="33"/>
      <c r="E47" s="34">
        <f>'MASQUE DE SAISIE '!H21</f>
        <v>1.2999999999999999E-2</v>
      </c>
      <c r="F47" s="40">
        <f t="shared" si="2"/>
        <v>0</v>
      </c>
      <c r="G47" s="13">
        <f t="shared" si="3"/>
        <v>24.7</v>
      </c>
      <c r="H47" s="508"/>
      <c r="L47" s="602"/>
    </row>
    <row r="48" spans="1:16" ht="16.5" customHeight="1" x14ac:dyDescent="0.3">
      <c r="A48" s="591" t="s">
        <v>39</v>
      </c>
      <c r="B48" s="591"/>
      <c r="C48" s="16"/>
      <c r="D48" s="33"/>
      <c r="E48" s="34"/>
      <c r="F48" s="40"/>
      <c r="G48" s="13"/>
      <c r="H48" s="508"/>
      <c r="L48" s="602"/>
    </row>
    <row r="49" spans="1:17" ht="18" customHeight="1" x14ac:dyDescent="0.3">
      <c r="A49" s="597" t="s">
        <v>40</v>
      </c>
      <c r="B49" s="597"/>
      <c r="C49" s="40">
        <f>IF(J33&gt;C33,C33,J33)</f>
        <v>1900</v>
      </c>
      <c r="D49" s="33">
        <f>VLOOKUP(A49,TAUX2023,3,FALSE)</f>
        <v>6.9000000000000006E-2</v>
      </c>
      <c r="E49" s="34">
        <f xml:space="preserve"> VLOOKUP(A49,TAUX2023,4,FALSE)</f>
        <v>8.5500000000000007E-2</v>
      </c>
      <c r="F49" s="40">
        <f t="shared" si="2"/>
        <v>131.1</v>
      </c>
      <c r="G49" s="13">
        <f t="shared" si="3"/>
        <v>162.44999999999999</v>
      </c>
      <c r="H49" s="508"/>
      <c r="I49" s="509"/>
      <c r="J49" s="509"/>
    </row>
    <row r="50" spans="1:17" ht="18" customHeight="1" x14ac:dyDescent="0.3">
      <c r="A50" s="597" t="s">
        <v>41</v>
      </c>
      <c r="B50" s="597"/>
      <c r="C50" s="13">
        <f>J33</f>
        <v>1900</v>
      </c>
      <c r="D50" s="33">
        <f>VLOOKUP(A50,TAUX2023,3,FALSE)</f>
        <v>4.0000000000000001E-3</v>
      </c>
      <c r="E50" s="34">
        <f xml:space="preserve"> VLOOKUP(A50,TAUX2023,4,FALSE)</f>
        <v>2.0199999999999999E-2</v>
      </c>
      <c r="F50" s="40">
        <f t="shared" si="2"/>
        <v>7.6</v>
      </c>
      <c r="G50" s="13">
        <f t="shared" si="3"/>
        <v>38.380000000000003</v>
      </c>
      <c r="H50" s="512"/>
      <c r="I50" s="512"/>
      <c r="J50" s="509"/>
    </row>
    <row r="51" spans="1:17" ht="13.5" customHeight="1" x14ac:dyDescent="0.3">
      <c r="A51" s="597" t="s">
        <v>42</v>
      </c>
      <c r="B51" s="597"/>
      <c r="C51" s="13">
        <f>IF(J33&gt;C33,C33,J33)</f>
        <v>1900</v>
      </c>
      <c r="D51" s="169">
        <f>'BP FORMAT JUILLET 2023'!D53</f>
        <v>4.0099999999999997E-2</v>
      </c>
      <c r="E51" s="170">
        <f>'BP FORMAT JUILLET 2023'!E53</f>
        <v>6.0100000000000001E-2</v>
      </c>
      <c r="F51" s="40">
        <f t="shared" si="2"/>
        <v>76.19</v>
      </c>
      <c r="G51" s="13">
        <f t="shared" si="3"/>
        <v>114.19</v>
      </c>
      <c r="H51" s="512"/>
      <c r="I51" s="512"/>
      <c r="J51" s="509"/>
      <c r="K51" s="6"/>
      <c r="M51" s="600"/>
      <c r="N51" s="600"/>
      <c r="O51" s="600"/>
    </row>
    <row r="52" spans="1:17" ht="15" hidden="1" customHeight="1" x14ac:dyDescent="0.3">
      <c r="A52" s="597" t="s">
        <v>43</v>
      </c>
      <c r="B52" s="597"/>
      <c r="C52" s="13">
        <f>IF(J33&gt;8*C33,7*C33,IF(J33&gt;C33,J33-C33,0))</f>
        <v>0</v>
      </c>
      <c r="D52" s="169">
        <f>'BP FORMAT JUILLET 2023'!D54</f>
        <v>0</v>
      </c>
      <c r="E52" s="170">
        <f>'BP FORMAT JUILLET 2023'!E54</f>
        <v>0</v>
      </c>
      <c r="F52" s="40">
        <f t="shared" si="2"/>
        <v>0</v>
      </c>
      <c r="G52" s="13">
        <f t="shared" si="3"/>
        <v>0</v>
      </c>
      <c r="H52" s="512"/>
      <c r="I52" s="512"/>
      <c r="J52" s="509"/>
      <c r="K52" s="6"/>
      <c r="M52" s="601"/>
      <c r="N52" s="601"/>
      <c r="O52" s="9"/>
      <c r="P52" s="11"/>
      <c r="Q52" s="9"/>
    </row>
    <row r="53" spans="1:17" ht="10.5" hidden="1" customHeight="1" x14ac:dyDescent="0.3">
      <c r="A53" s="588"/>
      <c r="B53" s="588"/>
      <c r="C53" s="13"/>
      <c r="D53" s="169"/>
      <c r="E53" s="170"/>
      <c r="F53" s="40"/>
      <c r="G53" s="13"/>
      <c r="H53" s="512"/>
      <c r="I53" s="512"/>
      <c r="J53" s="509"/>
      <c r="K53" s="6"/>
      <c r="M53" s="55"/>
      <c r="N53" s="55"/>
      <c r="O53" s="9"/>
      <c r="P53" s="11"/>
      <c r="Q53" s="9"/>
    </row>
    <row r="54" spans="1:17" ht="10.5" hidden="1" customHeight="1" x14ac:dyDescent="0.3">
      <c r="A54" s="588"/>
      <c r="B54" s="588"/>
      <c r="C54" s="13"/>
      <c r="D54" s="169"/>
      <c r="E54" s="170"/>
      <c r="F54" s="40"/>
      <c r="G54" s="13"/>
      <c r="H54" s="512"/>
      <c r="I54" s="512"/>
      <c r="J54" s="509"/>
      <c r="K54" s="6"/>
      <c r="M54" s="55"/>
      <c r="N54" s="55"/>
      <c r="O54" s="9"/>
      <c r="P54" s="11"/>
      <c r="Q54" s="9"/>
    </row>
    <row r="55" spans="1:17" ht="10.5" hidden="1" customHeight="1" x14ac:dyDescent="0.3">
      <c r="A55" s="588"/>
      <c r="B55" s="588"/>
      <c r="C55" s="173"/>
      <c r="D55" s="169"/>
      <c r="E55" s="170"/>
      <c r="F55" s="40"/>
      <c r="G55" s="13"/>
      <c r="H55" s="512"/>
      <c r="I55" s="512"/>
      <c r="J55" s="509"/>
      <c r="K55" s="6"/>
      <c r="M55" s="55"/>
      <c r="N55" s="55"/>
      <c r="O55" s="9"/>
      <c r="P55" s="11"/>
      <c r="Q55" s="9"/>
    </row>
    <row r="56" spans="1:17" ht="10.5" hidden="1" customHeight="1" x14ac:dyDescent="0.3">
      <c r="A56" s="588"/>
      <c r="B56" s="588"/>
      <c r="C56" s="13"/>
      <c r="D56" s="169"/>
      <c r="E56" s="170"/>
      <c r="F56" s="40"/>
      <c r="G56" s="13"/>
      <c r="H56" s="512"/>
      <c r="I56" s="512"/>
      <c r="J56" s="509"/>
      <c r="K56" s="6"/>
      <c r="M56" s="55"/>
      <c r="N56" s="55"/>
      <c r="O56" s="9"/>
      <c r="P56" s="11"/>
      <c r="Q56" s="9"/>
    </row>
    <row r="57" spans="1:17" ht="17.25" customHeight="1" x14ac:dyDescent="0.3">
      <c r="A57" s="596" t="s">
        <v>44</v>
      </c>
      <c r="B57" s="596"/>
      <c r="D57" s="33"/>
      <c r="E57" s="34"/>
      <c r="F57" s="40"/>
      <c r="G57" s="13"/>
      <c r="H57" s="512"/>
      <c r="I57" s="512"/>
      <c r="J57" s="509"/>
      <c r="M57" s="592"/>
      <c r="N57" s="592"/>
      <c r="P57" s="12"/>
      <c r="Q57" s="2"/>
    </row>
    <row r="58" spans="1:17" ht="15.6" customHeight="1" x14ac:dyDescent="0.3">
      <c r="A58" s="597" t="s">
        <v>72</v>
      </c>
      <c r="B58" s="597"/>
      <c r="C58" s="13">
        <f>J33</f>
        <v>1900</v>
      </c>
      <c r="D58" s="169"/>
      <c r="E58" s="170">
        <f xml:space="preserve"> VLOOKUP(A58,TAUX2023,4,FALSE)</f>
        <v>3.4500000000000003E-2</v>
      </c>
      <c r="F58" s="40">
        <f t="shared" si="2"/>
        <v>0</v>
      </c>
      <c r="G58" s="13">
        <f>ROUND(C58*E58,2)</f>
        <v>65.55</v>
      </c>
      <c r="H58" s="512"/>
      <c r="I58" s="512"/>
      <c r="J58" s="509"/>
      <c r="M58" s="48"/>
      <c r="N58" s="48"/>
      <c r="P58" s="12"/>
      <c r="Q58" s="2"/>
    </row>
    <row r="59" spans="1:17" ht="15.6" customHeight="1" x14ac:dyDescent="0.3">
      <c r="A59" s="597" t="s">
        <v>258</v>
      </c>
      <c r="B59" s="597"/>
      <c r="C59" s="40">
        <f>IF(J33&gt;3.3*'TABLE DES TAUX 2025 '!D53*B10,J33,0)</f>
        <v>0</v>
      </c>
      <c r="D59" s="169"/>
      <c r="E59" s="170">
        <f xml:space="preserve"> VLOOKUP(A59,TAUX2023,4,FALSE)</f>
        <v>1.7999999999999999E-2</v>
      </c>
      <c r="F59" s="40">
        <f t="shared" si="2"/>
        <v>0</v>
      </c>
      <c r="G59" s="13">
        <f t="shared" si="3"/>
        <v>0</v>
      </c>
      <c r="H59" s="512"/>
      <c r="I59" s="512"/>
      <c r="J59" s="509"/>
      <c r="M59" s="48"/>
      <c r="N59" s="48"/>
      <c r="P59" s="12"/>
      <c r="Q59" s="2"/>
    </row>
    <row r="60" spans="1:17" ht="15.6" customHeight="1" x14ac:dyDescent="0.3">
      <c r="A60" s="591" t="s">
        <v>45</v>
      </c>
      <c r="B60" s="591"/>
      <c r="C60" s="18"/>
      <c r="D60" s="169"/>
      <c r="E60" s="170"/>
      <c r="F60" s="40">
        <f t="shared" si="2"/>
        <v>0</v>
      </c>
      <c r="G60" s="13"/>
      <c r="H60" s="512"/>
      <c r="I60" s="512"/>
      <c r="J60" s="509"/>
      <c r="M60" s="592"/>
      <c r="N60" s="592"/>
      <c r="O60" s="10"/>
    </row>
    <row r="61" spans="1:17" ht="16.5" customHeight="1" x14ac:dyDescent="0.3">
      <c r="A61" s="593" t="s">
        <v>210</v>
      </c>
      <c r="B61" s="593"/>
      <c r="C61" s="39">
        <f>IF(J33&gt;4*C33,4*C33,J33)</f>
        <v>1900</v>
      </c>
      <c r="D61" s="169"/>
      <c r="E61" s="170">
        <f>IF(H10&gt;=45778,4%,4.05%)+'TABLE DES TAUX 2025 '!E14</f>
        <v>4.2500000000000003E-2</v>
      </c>
      <c r="F61" s="40">
        <f t="shared" si="2"/>
        <v>0</v>
      </c>
      <c r="G61" s="13">
        <f t="shared" si="3"/>
        <v>80.75</v>
      </c>
      <c r="H61" s="512"/>
      <c r="I61" s="512"/>
      <c r="J61" s="509"/>
      <c r="M61" s="48"/>
      <c r="N61" s="48"/>
      <c r="O61" s="10"/>
    </row>
    <row r="62" spans="1:17" ht="12.75" hidden="1" customHeight="1" x14ac:dyDescent="0.3">
      <c r="A62" s="598"/>
      <c r="B62" s="599"/>
      <c r="C62" s="39"/>
      <c r="D62" s="169"/>
      <c r="E62" s="170"/>
      <c r="F62" s="40"/>
      <c r="G62" s="13"/>
      <c r="H62" s="512"/>
      <c r="I62" s="512"/>
      <c r="M62" s="48"/>
      <c r="N62" s="48"/>
      <c r="O62" s="10"/>
    </row>
    <row r="63" spans="1:17" ht="18" customHeight="1" x14ac:dyDescent="0.3">
      <c r="A63" s="594" t="s">
        <v>285</v>
      </c>
      <c r="B63" s="595"/>
      <c r="C63" s="39">
        <f>IF(I9=2,C61,0)</f>
        <v>1900</v>
      </c>
      <c r="D63" s="171">
        <f>VLOOKUP(A63,TAUX2023,3,FALSE)</f>
        <v>2.4000000000000001E-4</v>
      </c>
      <c r="E63" s="172">
        <f xml:space="preserve"> VLOOKUP(A63,TAUX2023,4,FALSE)</f>
        <v>3.6000000000000002E-4</v>
      </c>
      <c r="F63" s="40">
        <f t="shared" si="2"/>
        <v>0.46</v>
      </c>
      <c r="G63" s="13">
        <f t="shared" si="3"/>
        <v>0.68</v>
      </c>
      <c r="H63" s="512"/>
      <c r="I63" s="512"/>
      <c r="M63" s="48"/>
      <c r="N63" s="48"/>
      <c r="O63" s="10"/>
    </row>
    <row r="64" spans="1:17" ht="12" customHeight="1" x14ac:dyDescent="0.3">
      <c r="A64" s="596" t="s">
        <v>46</v>
      </c>
      <c r="B64" s="596"/>
      <c r="C64" s="13"/>
      <c r="D64" s="171"/>
      <c r="E64" s="172"/>
      <c r="F64" s="40">
        <f t="shared" si="2"/>
        <v>0</v>
      </c>
      <c r="G64" s="13">
        <f>E120</f>
        <v>55.4</v>
      </c>
      <c r="H64" s="512"/>
      <c r="I64" s="512"/>
      <c r="M64" s="592"/>
      <c r="N64" s="592"/>
      <c r="O64" s="5"/>
    </row>
    <row r="65" spans="1:12" ht="33.75" hidden="1" customHeight="1" x14ac:dyDescent="0.3">
      <c r="A65" s="587" t="s">
        <v>48</v>
      </c>
      <c r="B65" s="587"/>
      <c r="C65" s="18"/>
      <c r="D65" s="33"/>
      <c r="E65" s="14"/>
      <c r="F65" s="40"/>
      <c r="G65" s="13"/>
      <c r="H65" s="512"/>
      <c r="I65" s="512"/>
    </row>
    <row r="66" spans="1:12" ht="21.75" customHeight="1" x14ac:dyDescent="0.3">
      <c r="A66" s="590" t="s">
        <v>49</v>
      </c>
      <c r="B66" s="590"/>
      <c r="C66" s="40">
        <f>'HEURES SUPPLEMENTAIRES '!F136</f>
        <v>1942.75</v>
      </c>
      <c r="D66" s="169">
        <f>VLOOKUP(A66,TAUX2023,3,FALSE)</f>
        <v>6.8000000000000005E-2</v>
      </c>
      <c r="E66" s="182"/>
      <c r="F66" s="40">
        <f t="shared" si="2"/>
        <v>132.11000000000001</v>
      </c>
      <c r="G66" s="13"/>
      <c r="H66" s="512"/>
      <c r="I66" s="512"/>
      <c r="J66" s="2"/>
    </row>
    <row r="67" spans="1:12" ht="21.75" customHeight="1" x14ac:dyDescent="0.3">
      <c r="A67" s="590" t="s">
        <v>50</v>
      </c>
      <c r="B67" s="590"/>
      <c r="C67" s="13">
        <f>C66</f>
        <v>1942.75</v>
      </c>
      <c r="D67" s="169">
        <f>VLOOKUP(A67,TAUX2023,3,FALSE)</f>
        <v>2.9000000000000001E-2</v>
      </c>
      <c r="E67" s="182"/>
      <c r="F67" s="40">
        <f t="shared" si="2"/>
        <v>56.34</v>
      </c>
      <c r="G67" s="13"/>
      <c r="H67" s="512"/>
      <c r="I67" s="512"/>
      <c r="J67" s="2"/>
      <c r="K67" s="2"/>
    </row>
    <row r="68" spans="1:12" ht="21" hidden="1" customHeight="1" x14ac:dyDescent="0.3">
      <c r="A68" s="590" t="s">
        <v>51</v>
      </c>
      <c r="B68" s="590"/>
      <c r="C68" s="13">
        <f>'BP FORMAT JUILLET 2023'!C68</f>
        <v>0</v>
      </c>
      <c r="D68" s="169">
        <f>+D66</f>
        <v>6.8000000000000005E-2</v>
      </c>
      <c r="E68" s="182"/>
      <c r="F68" s="40">
        <f>ROUND(C68*D68,2)</f>
        <v>0</v>
      </c>
      <c r="G68" s="13">
        <f t="shared" si="3"/>
        <v>0</v>
      </c>
      <c r="H68" s="508"/>
      <c r="J68" s="2"/>
      <c r="K68" s="2"/>
    </row>
    <row r="69" spans="1:12" ht="21" hidden="1" customHeight="1" x14ac:dyDescent="0.3">
      <c r="A69" s="590" t="s">
        <v>52</v>
      </c>
      <c r="B69" s="590"/>
      <c r="C69" s="13">
        <f>'BP FORMAT JUILLET 2023'!C69</f>
        <v>0</v>
      </c>
      <c r="D69" s="169">
        <f>+D68</f>
        <v>6.8000000000000005E-2</v>
      </c>
      <c r="E69" s="182"/>
      <c r="F69" s="40">
        <f>ROUND(C69*D69,2)</f>
        <v>0</v>
      </c>
      <c r="G69" s="13">
        <f t="shared" si="3"/>
        <v>0</v>
      </c>
      <c r="H69" s="508"/>
      <c r="J69" s="2"/>
      <c r="K69" s="2"/>
    </row>
    <row r="70" spans="1:12" ht="21" hidden="1" customHeight="1" x14ac:dyDescent="0.3">
      <c r="A70" s="590" t="s">
        <v>53</v>
      </c>
      <c r="B70" s="590"/>
      <c r="C70" s="13">
        <f>C68+C69</f>
        <v>0</v>
      </c>
      <c r="D70" s="169">
        <f>+D67</f>
        <v>2.9000000000000001E-2</v>
      </c>
      <c r="E70" s="182"/>
      <c r="F70" s="40">
        <f>ROUND(C70*D70,2)</f>
        <v>0</v>
      </c>
      <c r="G70" s="13">
        <f t="shared" si="3"/>
        <v>0</v>
      </c>
      <c r="H70" s="508"/>
      <c r="J70" s="2"/>
      <c r="K70" s="2"/>
    </row>
    <row r="71" spans="1:12" ht="27" customHeight="1" x14ac:dyDescent="0.3">
      <c r="A71" s="587" t="s">
        <v>236</v>
      </c>
      <c r="B71" s="587"/>
      <c r="C71" s="13"/>
      <c r="D71" s="33"/>
      <c r="E71" s="14"/>
      <c r="F71" s="13"/>
      <c r="G71" s="40">
        <f>-'Red Gen de Cot BP Version Janv '!J16-'HEURES SUPPLEMENTAIRES '!A145</f>
        <v>-523.07000000000005</v>
      </c>
      <c r="H71" s="508"/>
      <c r="J71" s="2"/>
      <c r="K71" s="2"/>
    </row>
    <row r="72" spans="1:12" ht="27" hidden="1" customHeight="1" x14ac:dyDescent="0.3">
      <c r="A72" s="588" t="s">
        <v>54</v>
      </c>
      <c r="B72" s="588"/>
      <c r="C72" s="50">
        <f>'HEURES SUPPLEMENTAIRES '!F141</f>
        <v>0</v>
      </c>
      <c r="D72" s="33"/>
      <c r="E72" s="168">
        <f>'HEURES SUPPLEMENTAIRES '!D57</f>
        <v>0.11310000000000001</v>
      </c>
      <c r="F72" s="19">
        <f>-ROUND(C72*E72,2)</f>
        <v>0</v>
      </c>
      <c r="G72" s="17"/>
      <c r="H72" s="508"/>
      <c r="I72" s="2"/>
      <c r="J72" s="2"/>
      <c r="K72" s="2"/>
    </row>
    <row r="73" spans="1:12" ht="18.75" customHeight="1" x14ac:dyDescent="0.3">
      <c r="A73" s="588" t="s">
        <v>55</v>
      </c>
      <c r="B73" s="588"/>
      <c r="C73" s="13"/>
      <c r="D73" s="13"/>
      <c r="E73" s="13"/>
      <c r="F73" s="13">
        <f>SUM(F36:F72)</f>
        <v>422.80000000000007</v>
      </c>
      <c r="G73" s="13">
        <f>SUM(G36:G72)</f>
        <v>228.02999999999986</v>
      </c>
      <c r="H73" s="510"/>
      <c r="I73" s="2"/>
    </row>
    <row r="74" spans="1:12" ht="20.25" customHeight="1" x14ac:dyDescent="0.3">
      <c r="A74" s="588" t="s">
        <v>394</v>
      </c>
      <c r="B74" s="588"/>
      <c r="C74" s="13"/>
      <c r="D74" s="13"/>
      <c r="E74" s="18"/>
      <c r="F74" s="13">
        <f>'MASQUE DE SAISIE '!E47*'MASQUE DE SAISIE '!E48</f>
        <v>0</v>
      </c>
      <c r="G74" s="222">
        <f>'MASQUE DE SAISIE '!E47*'MASQUE DE SAISIE '!E49</f>
        <v>0</v>
      </c>
      <c r="H74" s="508"/>
    </row>
    <row r="75" spans="1:12" ht="20.25" customHeight="1" x14ac:dyDescent="0.3">
      <c r="A75" s="589" t="s">
        <v>56</v>
      </c>
      <c r="B75" s="589"/>
      <c r="C75" s="41"/>
      <c r="D75" s="41"/>
      <c r="E75" s="26"/>
      <c r="F75" s="41">
        <f>'MASQUE DE SAISIE '!E50</f>
        <v>0</v>
      </c>
      <c r="G75" s="26"/>
      <c r="H75" s="511"/>
    </row>
    <row r="76" spans="1:12" ht="19.5" hidden="1" customHeight="1" x14ac:dyDescent="0.3">
      <c r="A76" s="589"/>
      <c r="B76" s="589"/>
      <c r="C76" s="41"/>
      <c r="D76" s="41"/>
      <c r="E76" s="26"/>
      <c r="F76" s="41"/>
      <c r="G76" s="26"/>
      <c r="I76" s="7"/>
      <c r="J76" s="8"/>
      <c r="K76" s="7"/>
    </row>
    <row r="77" spans="1:12" ht="19.5" customHeight="1" x14ac:dyDescent="0.3">
      <c r="A77" s="624" t="s">
        <v>415</v>
      </c>
      <c r="B77" s="625"/>
      <c r="C77" s="41"/>
      <c r="D77" s="41"/>
      <c r="E77" s="26"/>
      <c r="F77" s="41"/>
      <c r="G77" s="26"/>
      <c r="I77" s="7"/>
      <c r="J77" s="8"/>
      <c r="K77" s="7"/>
    </row>
    <row r="78" spans="1:12" ht="18" customHeight="1" x14ac:dyDescent="0.3">
      <c r="A78" s="571" t="s">
        <v>65</v>
      </c>
      <c r="B78" s="571"/>
      <c r="C78" s="571"/>
      <c r="D78" s="571"/>
      <c r="E78" s="571"/>
      <c r="F78" s="571"/>
      <c r="G78" s="571"/>
      <c r="H78" s="571"/>
      <c r="I78" s="571"/>
      <c r="J78" s="572">
        <f>J33-F73+F75-F76-F74+F77</f>
        <v>1477.1999999999998</v>
      </c>
      <c r="K78" s="573"/>
      <c r="L78" s="573"/>
    </row>
    <row r="79" spans="1:12" ht="5.25" customHeight="1" x14ac:dyDescent="0.3">
      <c r="A79" s="574" t="s">
        <v>57</v>
      </c>
      <c r="B79" s="574"/>
      <c r="C79" s="574"/>
      <c r="D79" s="574"/>
      <c r="E79" s="574"/>
      <c r="F79" s="574"/>
      <c r="G79" s="574"/>
      <c r="H79" s="574"/>
      <c r="I79" s="574"/>
      <c r="J79" s="575">
        <f>F127</f>
        <v>26.823250000000002</v>
      </c>
      <c r="K79" s="576"/>
      <c r="L79" s="576"/>
    </row>
    <row r="80" spans="1:12" ht="5.25" customHeight="1" x14ac:dyDescent="0.3">
      <c r="A80" s="574"/>
      <c r="B80" s="574"/>
      <c r="C80" s="574"/>
      <c r="D80" s="574"/>
      <c r="E80" s="574"/>
      <c r="F80" s="574"/>
      <c r="G80" s="574"/>
      <c r="H80" s="574"/>
      <c r="I80" s="574"/>
      <c r="J80" s="576"/>
      <c r="K80" s="576"/>
      <c r="L80" s="576"/>
    </row>
    <row r="81" spans="1:14" ht="5.25" customHeight="1" x14ac:dyDescent="0.3">
      <c r="A81" s="574"/>
      <c r="B81" s="574"/>
      <c r="C81" s="574"/>
      <c r="D81" s="574"/>
      <c r="E81" s="574"/>
      <c r="F81" s="574"/>
      <c r="G81" s="574"/>
      <c r="H81" s="574"/>
      <c r="I81" s="574"/>
      <c r="J81" s="576"/>
      <c r="K81" s="576"/>
      <c r="L81" s="576"/>
    </row>
    <row r="82" spans="1:14" ht="20.25" customHeight="1" x14ac:dyDescent="0.3">
      <c r="A82" s="577" t="s">
        <v>66</v>
      </c>
      <c r="B82" s="578"/>
      <c r="C82" s="579"/>
      <c r="D82" s="583" t="s">
        <v>60</v>
      </c>
      <c r="E82" s="583"/>
      <c r="F82" s="583" t="s">
        <v>67</v>
      </c>
      <c r="G82" s="583"/>
      <c r="H82" s="53" t="s">
        <v>61</v>
      </c>
      <c r="I82" s="23"/>
      <c r="J82" s="23"/>
      <c r="K82" s="23"/>
      <c r="L82" s="23"/>
    </row>
    <row r="83" spans="1:14" x14ac:dyDescent="0.3">
      <c r="A83" s="580"/>
      <c r="B83" s="581"/>
      <c r="C83" s="582"/>
      <c r="D83" s="584">
        <f>J87</f>
        <v>1571.54</v>
      </c>
      <c r="E83" s="585"/>
      <c r="F83" s="586" t="e">
        <f>#REF!</f>
        <v>#REF!</v>
      </c>
      <c r="G83" s="576"/>
      <c r="H83" s="54" t="e">
        <f>ROUND(D83*F83,2)</f>
        <v>#REF!</v>
      </c>
      <c r="I83" s="23"/>
      <c r="J83" s="23"/>
      <c r="K83" s="23"/>
      <c r="L83" s="23"/>
    </row>
    <row r="84" spans="1:14" x14ac:dyDescent="0.3">
      <c r="A84" s="561" t="s">
        <v>58</v>
      </c>
      <c r="B84" s="561"/>
      <c r="C84" s="561"/>
      <c r="D84" s="561"/>
      <c r="E84" s="561"/>
      <c r="F84" s="561"/>
      <c r="G84" s="561"/>
      <c r="H84" s="561"/>
      <c r="I84" s="561"/>
      <c r="J84" s="564">
        <f>G73+J33</f>
        <v>2128.0299999999997</v>
      </c>
      <c r="K84" s="565"/>
      <c r="L84" s="565"/>
    </row>
    <row r="85" spans="1:14" x14ac:dyDescent="0.3">
      <c r="A85" s="561" t="s">
        <v>68</v>
      </c>
      <c r="B85" s="561"/>
      <c r="C85" s="561"/>
      <c r="D85" s="561"/>
      <c r="E85" s="561"/>
      <c r="F85" s="561"/>
      <c r="G85" s="561"/>
      <c r="H85" s="561"/>
      <c r="I85" s="561"/>
      <c r="J85" s="566">
        <f>-G71+IF(C59=0,J33*1.8%,0) +IF(C37=0,J33*6%,0)</f>
        <v>671.2700000000001</v>
      </c>
      <c r="K85" s="567"/>
      <c r="L85" s="567"/>
    </row>
    <row r="86" spans="1:14" x14ac:dyDescent="0.3">
      <c r="A86" s="561" t="s">
        <v>237</v>
      </c>
      <c r="B86" s="561"/>
      <c r="C86" s="561"/>
      <c r="D86" s="561"/>
      <c r="E86" s="561"/>
      <c r="F86" s="561"/>
      <c r="G86" s="561"/>
      <c r="H86" s="561"/>
      <c r="I86" s="561"/>
      <c r="J86" s="564" t="e">
        <f>J78-H83</f>
        <v>#REF!</v>
      </c>
      <c r="K86" s="565"/>
      <c r="L86" s="565"/>
    </row>
    <row r="87" spans="1:14" x14ac:dyDescent="0.3">
      <c r="A87" s="561" t="s">
        <v>62</v>
      </c>
      <c r="B87" s="561"/>
      <c r="C87" s="561"/>
      <c r="D87" s="561"/>
      <c r="E87" s="561"/>
      <c r="F87" s="561"/>
      <c r="G87" s="561"/>
      <c r="H87" s="561"/>
      <c r="I87" s="561"/>
      <c r="J87" s="562">
        <f>'HEURES SUPPLEMENTAIRES '!E100</f>
        <v>1571.54</v>
      </c>
      <c r="K87" s="563"/>
      <c r="L87" s="563"/>
      <c r="N87" s="2"/>
    </row>
    <row r="88" spans="1:14" x14ac:dyDescent="0.3">
      <c r="A88" s="62"/>
      <c r="B88" s="363" t="s">
        <v>64</v>
      </c>
      <c r="C88" s="363" t="s">
        <v>290</v>
      </c>
      <c r="D88" s="568" t="s">
        <v>292</v>
      </c>
      <c r="E88" s="569"/>
      <c r="F88" s="570" t="s">
        <v>293</v>
      </c>
      <c r="G88" s="570"/>
      <c r="H88" s="383"/>
      <c r="I88" s="383"/>
      <c r="J88" s="179"/>
      <c r="K88" s="366"/>
      <c r="L88" s="366"/>
    </row>
    <row r="89" spans="1:14" ht="21" customHeight="1" x14ac:dyDescent="0.3">
      <c r="A89" s="384" t="s">
        <v>291</v>
      </c>
      <c r="B89" s="66" t="e">
        <f>H83</f>
        <v>#REF!</v>
      </c>
      <c r="C89" s="66"/>
      <c r="D89" s="369" t="s">
        <v>108</v>
      </c>
      <c r="E89" s="66"/>
      <c r="F89" s="369" t="s">
        <v>313</v>
      </c>
      <c r="G89" s="66"/>
      <c r="H89" s="382"/>
      <c r="I89" s="383"/>
      <c r="J89" s="179"/>
      <c r="K89" s="366"/>
      <c r="L89" s="366"/>
    </row>
    <row r="90" spans="1:14" ht="21" customHeight="1" x14ac:dyDescent="0.3">
      <c r="A90" s="385" t="s">
        <v>295</v>
      </c>
      <c r="B90" s="370">
        <f>C72</f>
        <v>0</v>
      </c>
      <c r="C90" s="66"/>
      <c r="D90" s="369" t="s">
        <v>101</v>
      </c>
      <c r="E90" s="66"/>
      <c r="F90" s="369" t="s">
        <v>248</v>
      </c>
      <c r="G90" s="66"/>
      <c r="H90" s="383"/>
      <c r="I90" s="383"/>
      <c r="J90" s="179"/>
      <c r="K90" s="366"/>
      <c r="L90" s="366"/>
    </row>
    <row r="91" spans="1:14" ht="17.25" customHeight="1" x14ac:dyDescent="0.3">
      <c r="A91" s="386" t="s">
        <v>186</v>
      </c>
      <c r="B91" s="370">
        <f>J33</f>
        <v>1900</v>
      </c>
      <c r="C91" s="66"/>
      <c r="D91" s="369" t="s">
        <v>247</v>
      </c>
      <c r="E91" s="66"/>
      <c r="F91" s="369" t="s">
        <v>247</v>
      </c>
      <c r="G91" s="66"/>
      <c r="H91" s="383"/>
      <c r="I91" s="383"/>
      <c r="J91" s="179"/>
      <c r="K91" s="366"/>
      <c r="L91" s="366"/>
    </row>
    <row r="92" spans="1:14" ht="17.25" customHeight="1" x14ac:dyDescent="0.3">
      <c r="A92" s="386" t="s">
        <v>62</v>
      </c>
      <c r="B92" s="370">
        <f>J87</f>
        <v>1571.54</v>
      </c>
      <c r="C92" s="66"/>
      <c r="D92" s="365"/>
      <c r="E92" s="365"/>
      <c r="F92" s="365"/>
      <c r="G92" s="365"/>
      <c r="H92" s="383"/>
      <c r="I92" s="383"/>
      <c r="J92" s="179"/>
      <c r="K92" s="366"/>
      <c r="L92" s="366"/>
    </row>
    <row r="93" spans="1:14" ht="15" customHeight="1" x14ac:dyDescent="0.3">
      <c r="A93" s="560" t="s">
        <v>59</v>
      </c>
      <c r="B93" s="560"/>
      <c r="C93" s="560"/>
      <c r="D93" s="560"/>
      <c r="E93" s="560"/>
      <c r="F93" s="23"/>
      <c r="G93" s="23"/>
      <c r="H93" s="23"/>
      <c r="I93" s="23"/>
      <c r="J93" s="23"/>
      <c r="K93" s="23"/>
      <c r="L93" s="23"/>
    </row>
    <row r="94" spans="1:14" s="23" customFormat="1" ht="12" customHeight="1" x14ac:dyDescent="0.2">
      <c r="A94" s="43" t="s">
        <v>63</v>
      </c>
    </row>
    <row r="95" spans="1:14" x14ac:dyDescent="0.3">
      <c r="A95" s="23"/>
      <c r="B95" s="23"/>
      <c r="C95" s="23"/>
      <c r="D95" s="23"/>
      <c r="E95" s="23"/>
      <c r="F95" s="23"/>
      <c r="G95" s="23"/>
      <c r="H95" s="23"/>
      <c r="I95" s="23"/>
      <c r="J95" s="23"/>
      <c r="K95" s="23"/>
      <c r="L95" s="23"/>
    </row>
    <row r="96" spans="1:14" x14ac:dyDescent="0.3">
      <c r="A96" s="23"/>
      <c r="B96" s="23"/>
      <c r="C96" s="23"/>
      <c r="D96" s="23"/>
      <c r="E96" s="23"/>
      <c r="F96" s="23"/>
      <c r="G96" s="23"/>
      <c r="H96" s="23"/>
      <c r="I96" s="23"/>
      <c r="J96" s="23"/>
      <c r="K96" s="23"/>
      <c r="L96" s="23"/>
    </row>
    <row r="97" spans="1:18" x14ac:dyDescent="0.3">
      <c r="A97" s="23"/>
      <c r="B97" s="23"/>
      <c r="C97" s="23"/>
      <c r="D97" s="23"/>
      <c r="E97" s="23"/>
      <c r="F97" s="23"/>
      <c r="G97" s="23"/>
      <c r="H97" s="23"/>
      <c r="I97" s="23"/>
      <c r="J97" s="23"/>
      <c r="K97" s="23"/>
      <c r="L97" s="23"/>
    </row>
    <row r="98" spans="1:18" x14ac:dyDescent="0.3">
      <c r="A98" s="23"/>
      <c r="B98" s="23"/>
      <c r="C98" s="23"/>
      <c r="D98" s="23"/>
      <c r="E98" s="23"/>
      <c r="F98" s="23"/>
      <c r="G98" s="23"/>
      <c r="H98" s="23"/>
      <c r="I98" s="23"/>
      <c r="J98" s="23"/>
      <c r="K98" s="23"/>
      <c r="L98" s="23"/>
    </row>
    <row r="99" spans="1:18" x14ac:dyDescent="0.3">
      <c r="A99" s="23"/>
      <c r="B99" s="23"/>
      <c r="C99" s="23"/>
      <c r="D99" s="23"/>
      <c r="E99" s="23"/>
      <c r="F99" s="23"/>
      <c r="G99" s="23"/>
      <c r="H99" s="23"/>
      <c r="I99" s="23"/>
      <c r="J99" s="23"/>
      <c r="K99" s="23"/>
      <c r="L99" s="23"/>
    </row>
    <row r="100" spans="1:18" x14ac:dyDescent="0.3">
      <c r="A100" s="23"/>
      <c r="B100" s="23"/>
      <c r="C100" s="23"/>
      <c r="D100" s="23"/>
      <c r="E100" s="23"/>
      <c r="F100" s="23"/>
      <c r="G100" s="23"/>
      <c r="H100" s="23"/>
      <c r="I100" s="23"/>
      <c r="J100" s="23"/>
      <c r="K100" s="23"/>
      <c r="L100" s="23"/>
    </row>
    <row r="101" spans="1:18" x14ac:dyDescent="0.3">
      <c r="A101" s="23"/>
      <c r="B101" s="23"/>
      <c r="C101" s="23"/>
      <c r="D101" s="23"/>
      <c r="E101" s="23"/>
      <c r="F101" s="23"/>
      <c r="G101" s="23"/>
      <c r="H101" s="23"/>
      <c r="I101" s="23"/>
      <c r="J101" s="23"/>
      <c r="K101" s="23"/>
      <c r="L101" s="23"/>
    </row>
    <row r="102" spans="1:18" x14ac:dyDescent="0.3">
      <c r="A102" s="23"/>
      <c r="B102" s="23"/>
      <c r="C102" s="23"/>
      <c r="D102" s="23"/>
      <c r="E102" s="23"/>
      <c r="F102" s="23"/>
      <c r="G102" s="23"/>
      <c r="H102" s="23"/>
      <c r="I102" s="23"/>
      <c r="J102" s="23"/>
      <c r="K102" s="23"/>
      <c r="L102" s="23"/>
    </row>
    <row r="103" spans="1:18" x14ac:dyDescent="0.3">
      <c r="A103" s="23"/>
      <c r="B103" s="23"/>
      <c r="C103" s="23"/>
      <c r="D103" s="23"/>
      <c r="E103" s="23"/>
      <c r="F103" s="23"/>
      <c r="G103" s="23"/>
      <c r="H103" s="23"/>
      <c r="I103" s="23"/>
      <c r="J103" s="23"/>
      <c r="K103" s="23"/>
      <c r="L103" s="23"/>
    </row>
    <row r="104" spans="1:18" x14ac:dyDescent="0.3">
      <c r="A104" s="23"/>
      <c r="B104" s="23"/>
      <c r="C104" s="23"/>
      <c r="D104" s="23"/>
      <c r="E104" s="23"/>
      <c r="F104" s="23"/>
      <c r="G104" s="23"/>
      <c r="H104" s="23"/>
      <c r="I104" s="23"/>
      <c r="J104" s="23"/>
      <c r="K104" s="23"/>
      <c r="L104" s="23"/>
    </row>
    <row r="105" spans="1:18" x14ac:dyDescent="0.3">
      <c r="A105" s="23"/>
      <c r="B105" s="23"/>
      <c r="C105" s="23"/>
      <c r="D105" s="23"/>
      <c r="E105" s="23"/>
      <c r="F105" s="23"/>
      <c r="G105" s="23"/>
      <c r="H105" s="23"/>
      <c r="I105" s="23"/>
      <c r="J105" s="23"/>
      <c r="K105" s="23"/>
      <c r="L105" s="23"/>
    </row>
    <row r="106" spans="1:18" ht="15.6" x14ac:dyDescent="0.3">
      <c r="A106" s="25"/>
      <c r="B106" s="25"/>
      <c r="C106" s="25"/>
      <c r="D106" s="25"/>
      <c r="E106" s="25"/>
      <c r="F106" s="25"/>
      <c r="G106" s="25"/>
      <c r="H106" s="25"/>
      <c r="I106" s="25"/>
      <c r="J106" s="25"/>
      <c r="K106" s="25"/>
      <c r="L106" s="25"/>
      <c r="M106" s="27"/>
      <c r="N106" s="27"/>
      <c r="O106" s="27"/>
      <c r="P106" s="27"/>
      <c r="Q106" s="27"/>
      <c r="R106" s="27"/>
    </row>
    <row r="107" spans="1:18" ht="15.6" x14ac:dyDescent="0.3">
      <c r="A107" s="25" t="s">
        <v>91</v>
      </c>
      <c r="B107" s="25"/>
      <c r="C107" s="25"/>
      <c r="D107" s="25"/>
      <c r="E107" s="25"/>
      <c r="F107" s="25"/>
      <c r="G107" s="25"/>
      <c r="H107" s="25"/>
      <c r="I107" s="25"/>
      <c r="J107" s="25"/>
      <c r="K107" s="25"/>
      <c r="L107" s="25"/>
      <c r="M107" s="27"/>
      <c r="N107" s="27"/>
      <c r="O107" s="27"/>
      <c r="P107" s="27"/>
      <c r="Q107" s="27"/>
      <c r="R107" s="27"/>
    </row>
    <row r="108" spans="1:18" ht="15.6" x14ac:dyDescent="0.3">
      <c r="A108" s="25"/>
      <c r="C108" s="49" t="s">
        <v>32</v>
      </c>
      <c r="D108" s="49" t="s">
        <v>93</v>
      </c>
      <c r="E108" s="49" t="s">
        <v>102</v>
      </c>
      <c r="H108" s="25"/>
      <c r="I108" s="25"/>
      <c r="J108" s="25"/>
      <c r="K108" s="25"/>
      <c r="L108" s="25"/>
      <c r="M108" s="27"/>
      <c r="N108" s="27"/>
      <c r="O108" s="27"/>
      <c r="P108" s="27"/>
      <c r="Q108" s="27"/>
      <c r="R108" s="27"/>
    </row>
    <row r="109" spans="1:18" ht="15.6" x14ac:dyDescent="0.3">
      <c r="A109" s="557" t="s">
        <v>94</v>
      </c>
      <c r="B109" s="558"/>
      <c r="C109" s="44">
        <f>IF(B9&lt;50,IF(J33&gt;C33,C33,J33),0)</f>
        <v>1900</v>
      </c>
      <c r="D109" s="51">
        <f>'TABLE DES TAUX 2025 '!E26</f>
        <v>1E-3</v>
      </c>
      <c r="E109" s="44">
        <f>ROUND(C109*D109,2)</f>
        <v>1.9</v>
      </c>
      <c r="H109" s="25"/>
      <c r="I109" s="25"/>
      <c r="J109" s="25"/>
      <c r="K109" s="25"/>
      <c r="L109" s="25"/>
      <c r="M109" s="27"/>
      <c r="N109" s="27"/>
      <c r="O109" s="27"/>
      <c r="P109" s="27"/>
      <c r="Q109" s="27"/>
      <c r="R109" s="27"/>
    </row>
    <row r="110" spans="1:18" ht="15.6" x14ac:dyDescent="0.3">
      <c r="A110" s="557" t="s">
        <v>95</v>
      </c>
      <c r="B110" s="558"/>
      <c r="C110" s="44">
        <f>IF(B9&gt;=50,J33,0)</f>
        <v>0</v>
      </c>
      <c r="D110" s="51">
        <f>+'TABLE DES TAUX 2025 '!E27</f>
        <v>5.0000000000000001E-3</v>
      </c>
      <c r="E110" s="44">
        <f>ROUND(C110*D110,2)</f>
        <v>0</v>
      </c>
      <c r="H110" s="25"/>
      <c r="I110" s="25"/>
      <c r="J110" s="25"/>
      <c r="K110" s="25"/>
      <c r="L110" s="25"/>
      <c r="M110" s="27"/>
      <c r="N110" s="27"/>
      <c r="O110" s="27"/>
      <c r="P110" s="27"/>
      <c r="Q110" s="27"/>
      <c r="R110" s="27"/>
    </row>
    <row r="111" spans="1:18" ht="15.6" x14ac:dyDescent="0.3">
      <c r="A111" s="557" t="s">
        <v>284</v>
      </c>
      <c r="B111" s="558"/>
      <c r="C111" s="44">
        <f>IF(B9&gt;=11,J33,0)</f>
        <v>1900</v>
      </c>
      <c r="D111" s="51">
        <f>'MASQUE DE SAISIE '!H22</f>
        <v>5.0000000000000001E-3</v>
      </c>
      <c r="E111" s="44">
        <f t="shared" ref="E111:E119" si="4">ROUND(C111*D111,2)</f>
        <v>9.5</v>
      </c>
      <c r="H111" s="25"/>
      <c r="I111" s="25"/>
      <c r="J111" s="25"/>
      <c r="K111" s="25"/>
      <c r="L111" s="25"/>
      <c r="M111" s="27"/>
      <c r="N111" s="27"/>
      <c r="O111" s="27"/>
      <c r="P111" s="27"/>
      <c r="Q111" s="27"/>
      <c r="R111" s="27"/>
    </row>
    <row r="112" spans="1:18" ht="15.6" x14ac:dyDescent="0.3">
      <c r="A112" s="552" t="s">
        <v>73</v>
      </c>
      <c r="B112" s="553"/>
      <c r="C112" s="44">
        <f>J33</f>
        <v>1900</v>
      </c>
      <c r="D112" s="51">
        <f>'TABLE DES TAUX 2025 '!E29</f>
        <v>3.0000000000000001E-3</v>
      </c>
      <c r="E112" s="44">
        <f t="shared" si="4"/>
        <v>5.7</v>
      </c>
      <c r="H112" s="25"/>
      <c r="I112" s="25"/>
      <c r="J112" s="25"/>
      <c r="K112" s="25"/>
      <c r="L112" s="25"/>
      <c r="M112" s="27"/>
      <c r="N112" s="27"/>
      <c r="O112" s="27"/>
      <c r="P112" s="27"/>
      <c r="Q112" s="27"/>
      <c r="R112" s="27"/>
    </row>
    <row r="113" spans="1:18" ht="15.6" x14ac:dyDescent="0.3">
      <c r="A113" s="557" t="s">
        <v>92</v>
      </c>
      <c r="B113" s="558"/>
      <c r="C113" s="44">
        <f>IF(B9&gt;=11, IF(I9=2,G38+G41+G42,G39+G40),0)</f>
        <v>76</v>
      </c>
      <c r="D113" s="51">
        <f>'TABLE DES TAUX 2025 '!E30</f>
        <v>0.08</v>
      </c>
      <c r="E113" s="44">
        <f t="shared" si="4"/>
        <v>6.08</v>
      </c>
      <c r="H113" s="27"/>
      <c r="I113" s="27"/>
      <c r="J113" s="27"/>
      <c r="K113" s="27"/>
      <c r="L113" s="27"/>
      <c r="M113" s="27"/>
      <c r="N113" s="27"/>
      <c r="O113" s="27"/>
      <c r="P113" s="27"/>
      <c r="Q113" s="27"/>
      <c r="R113" s="27"/>
    </row>
    <row r="114" spans="1:18" ht="15.6" x14ac:dyDescent="0.3">
      <c r="A114" s="553" t="s">
        <v>228</v>
      </c>
      <c r="B114" s="559"/>
      <c r="C114" s="44">
        <f>G43</f>
        <v>0</v>
      </c>
      <c r="D114" s="51">
        <f>'TABLE DES TAUX 2025 '!E31</f>
        <v>0.2</v>
      </c>
      <c r="E114" s="44">
        <f t="shared" si="4"/>
        <v>0</v>
      </c>
      <c r="H114" s="27"/>
      <c r="I114" s="27"/>
      <c r="J114" s="27"/>
      <c r="K114" s="27"/>
      <c r="L114" s="27"/>
      <c r="M114" s="27"/>
      <c r="N114" s="27"/>
      <c r="O114" s="27"/>
      <c r="P114" s="27"/>
      <c r="Q114" s="27"/>
      <c r="R114" s="27"/>
    </row>
    <row r="115" spans="1:18" ht="16.5" customHeight="1" x14ac:dyDescent="0.3">
      <c r="A115" s="552" t="s">
        <v>74</v>
      </c>
      <c r="B115" s="553"/>
      <c r="C115" s="44">
        <f>+J33</f>
        <v>1900</v>
      </c>
      <c r="D115" s="51">
        <f>'TABLE DES TAUX 2025 '!E32</f>
        <v>1.6000000000000001E-4</v>
      </c>
      <c r="E115" s="44">
        <f t="shared" si="4"/>
        <v>0.3</v>
      </c>
      <c r="H115" s="27"/>
      <c r="I115" s="27"/>
      <c r="J115" s="27"/>
      <c r="K115" s="27"/>
      <c r="L115" s="27"/>
      <c r="M115" s="27"/>
      <c r="N115" s="27"/>
      <c r="O115" s="27"/>
      <c r="P115" s="27"/>
      <c r="Q115" s="27"/>
      <c r="R115" s="27"/>
    </row>
    <row r="116" spans="1:18" ht="15.6" x14ac:dyDescent="0.3">
      <c r="A116" s="552" t="s">
        <v>79</v>
      </c>
      <c r="B116" s="553"/>
      <c r="C116" s="44">
        <f>C115</f>
        <v>1900</v>
      </c>
      <c r="D116" s="51">
        <f>'TABLE DES TAUX 2025 '!E33</f>
        <v>6.7999999999999996E-3</v>
      </c>
      <c r="E116" s="44">
        <f t="shared" si="4"/>
        <v>12.92</v>
      </c>
      <c r="H116" s="27"/>
      <c r="I116" s="27"/>
      <c r="J116" s="27"/>
      <c r="K116" s="27"/>
      <c r="L116" s="27"/>
      <c r="M116" s="27"/>
      <c r="N116" s="27"/>
      <c r="O116" s="27"/>
      <c r="P116" s="27"/>
      <c r="Q116" s="27"/>
      <c r="R116" s="27"/>
    </row>
    <row r="117" spans="1:18" ht="15.6" x14ac:dyDescent="0.3">
      <c r="A117" s="552" t="s">
        <v>80</v>
      </c>
      <c r="B117" s="553"/>
      <c r="C117" s="44">
        <f>IF(B9&lt;11,0,J33)</f>
        <v>1900</v>
      </c>
      <c r="D117" s="51">
        <f>'TABLE DES TAUX 2025 '!E34</f>
        <v>0.01</v>
      </c>
      <c r="E117" s="44">
        <f t="shared" si="4"/>
        <v>19</v>
      </c>
      <c r="H117" s="27"/>
      <c r="I117" s="27"/>
      <c r="J117" s="27"/>
      <c r="K117" s="27"/>
      <c r="L117" s="27"/>
      <c r="M117" s="27"/>
      <c r="N117" s="27"/>
      <c r="O117" s="27"/>
      <c r="P117" s="27"/>
      <c r="Q117" s="27"/>
      <c r="R117" s="27"/>
    </row>
    <row r="118" spans="1:18" ht="15.6" x14ac:dyDescent="0.3">
      <c r="A118" s="552" t="s">
        <v>80</v>
      </c>
      <c r="B118" s="553"/>
      <c r="C118" s="44">
        <f>IF(B9&gt;=11,0,J33)</f>
        <v>0</v>
      </c>
      <c r="D118" s="51">
        <f>'TABLE DES TAUX 2025 '!E35</f>
        <v>5.4999999999999997E-3</v>
      </c>
      <c r="E118" s="44">
        <f t="shared" si="4"/>
        <v>0</v>
      </c>
      <c r="H118" s="27"/>
      <c r="I118" s="27"/>
      <c r="J118" s="27"/>
      <c r="K118" s="27"/>
      <c r="L118" s="27"/>
      <c r="M118" s="27"/>
      <c r="N118" s="27"/>
      <c r="O118" s="27"/>
      <c r="P118" s="27"/>
      <c r="Q118" s="27"/>
      <c r="R118" s="27"/>
    </row>
    <row r="119" spans="1:18" ht="15.6" x14ac:dyDescent="0.3">
      <c r="A119" s="552" t="s">
        <v>85</v>
      </c>
      <c r="B119" s="553"/>
      <c r="C119" s="44">
        <f>IF(B9&lt;50,0,J33)</f>
        <v>0</v>
      </c>
      <c r="D119" s="51">
        <f>'TABLE DES TAUX 2025 '!E36</f>
        <v>4.4999999999999997E-3</v>
      </c>
      <c r="E119" s="44">
        <f t="shared" si="4"/>
        <v>0</v>
      </c>
      <c r="H119" s="27"/>
      <c r="I119" s="27"/>
      <c r="J119" s="27"/>
      <c r="K119" s="27"/>
      <c r="L119" s="27"/>
      <c r="M119" s="27"/>
      <c r="N119" s="27"/>
      <c r="O119" s="27"/>
      <c r="P119" s="27"/>
      <c r="Q119" s="27"/>
      <c r="R119" s="27"/>
    </row>
    <row r="120" spans="1:18" ht="15.6" x14ac:dyDescent="0.3">
      <c r="A120" s="27"/>
      <c r="B120" s="27"/>
      <c r="D120" s="27"/>
      <c r="E120" s="67">
        <f>SUM(E109:E119)</f>
        <v>55.4</v>
      </c>
      <c r="F120" s="27"/>
      <c r="G120" s="27"/>
      <c r="H120" s="27"/>
      <c r="I120" s="27"/>
      <c r="J120" s="27"/>
      <c r="K120" s="27"/>
      <c r="L120" s="27"/>
      <c r="M120" s="27"/>
      <c r="N120" s="27"/>
      <c r="O120" s="27"/>
      <c r="P120" s="27"/>
      <c r="Q120" s="27"/>
      <c r="R120" s="27"/>
    </row>
    <row r="121" spans="1:18" ht="15.6" x14ac:dyDescent="0.3">
      <c r="A121" s="27"/>
      <c r="B121" s="27"/>
      <c r="C121" s="27"/>
      <c r="D121" s="27"/>
      <c r="E121" s="27"/>
      <c r="F121" s="27"/>
      <c r="G121" s="27"/>
      <c r="H121" s="27"/>
      <c r="I121" s="27"/>
      <c r="J121" s="27"/>
      <c r="K121" s="27"/>
      <c r="L121" s="27"/>
      <c r="M121" s="27"/>
      <c r="N121" s="27"/>
      <c r="O121" s="27"/>
      <c r="P121" s="27"/>
      <c r="Q121" s="27"/>
      <c r="R121" s="27"/>
    </row>
    <row r="122" spans="1:18" ht="15.6" x14ac:dyDescent="0.3">
      <c r="A122" s="24"/>
      <c r="B122" s="24"/>
      <c r="C122" s="24"/>
      <c r="D122" s="24"/>
      <c r="E122" s="24"/>
      <c r="F122" s="24"/>
      <c r="G122" s="24"/>
      <c r="H122" s="27"/>
      <c r="I122" s="27"/>
      <c r="J122" s="27"/>
      <c r="K122" s="27"/>
      <c r="L122" s="27"/>
      <c r="M122" s="27"/>
      <c r="N122" s="27"/>
      <c r="O122" s="27"/>
      <c r="P122" s="27"/>
      <c r="Q122" s="27"/>
      <c r="R122" s="27"/>
    </row>
    <row r="123" spans="1:18" ht="24.75" customHeight="1" x14ac:dyDescent="0.3">
      <c r="A123" s="24"/>
      <c r="B123" s="24"/>
      <c r="C123" s="24"/>
      <c r="D123" s="24"/>
      <c r="E123" s="24"/>
      <c r="F123" s="24"/>
      <c r="G123" s="24"/>
      <c r="H123" s="27"/>
      <c r="I123" s="27"/>
      <c r="J123" s="27"/>
      <c r="K123" s="27"/>
      <c r="L123" s="27"/>
      <c r="M123" s="27"/>
      <c r="N123" s="27"/>
      <c r="O123" s="27"/>
      <c r="P123" s="27"/>
      <c r="Q123" s="27"/>
      <c r="R123" s="27"/>
    </row>
    <row r="124" spans="1:18" ht="36" customHeight="1" x14ac:dyDescent="0.3">
      <c r="A124" s="554" t="s">
        <v>97</v>
      </c>
      <c r="B124" s="554"/>
      <c r="C124" s="46">
        <v>7.4999999999999997E-3</v>
      </c>
      <c r="D124" s="47">
        <f>C36*C124</f>
        <v>14.25</v>
      </c>
      <c r="E124" s="24"/>
      <c r="F124" s="24"/>
      <c r="G124" s="24"/>
      <c r="H124" s="27"/>
      <c r="I124" s="27"/>
      <c r="J124" s="27"/>
      <c r="K124" s="27"/>
      <c r="L124" s="27"/>
      <c r="M124" s="27"/>
      <c r="N124" s="27"/>
      <c r="O124" s="27"/>
      <c r="P124" s="27"/>
      <c r="Q124" s="27"/>
      <c r="R124" s="27"/>
    </row>
    <row r="125" spans="1:18" ht="35.25" customHeight="1" x14ac:dyDescent="0.3">
      <c r="A125" s="550" t="s">
        <v>98</v>
      </c>
      <c r="B125" s="550"/>
      <c r="C125" s="46">
        <v>2.4E-2</v>
      </c>
      <c r="D125" s="47">
        <f>C61*C125</f>
        <v>45.6</v>
      </c>
      <c r="E125" s="24"/>
      <c r="F125" s="24"/>
      <c r="G125" s="24"/>
      <c r="H125" s="27"/>
      <c r="I125" s="27"/>
      <c r="J125" s="27"/>
      <c r="K125" s="27"/>
      <c r="L125" s="27"/>
      <c r="M125" s="27"/>
      <c r="N125" s="27"/>
      <c r="O125" s="27"/>
      <c r="P125" s="27"/>
      <c r="Q125" s="27"/>
      <c r="R125" s="27"/>
    </row>
    <row r="126" spans="1:18" ht="22.5" hidden="1" customHeight="1" x14ac:dyDescent="0.3">
      <c r="A126" s="24"/>
      <c r="B126" s="24"/>
      <c r="C126" s="24"/>
      <c r="D126" s="24"/>
      <c r="E126" s="24"/>
      <c r="F126" s="24"/>
      <c r="G126" s="24"/>
      <c r="H126" s="27"/>
      <c r="I126" s="27"/>
      <c r="J126" s="27"/>
      <c r="K126" s="27"/>
      <c r="L126" s="27"/>
      <c r="M126" s="27"/>
      <c r="N126" s="27"/>
      <c r="O126" s="27"/>
      <c r="P126" s="27"/>
      <c r="Q126" s="27"/>
      <c r="R126" s="27"/>
    </row>
    <row r="127" spans="1:18" ht="22.5" customHeight="1" x14ac:dyDescent="0.3">
      <c r="A127" s="555" t="s">
        <v>119</v>
      </c>
      <c r="B127" s="555"/>
      <c r="C127" s="555"/>
      <c r="D127" s="556"/>
      <c r="E127" s="68" t="s">
        <v>100</v>
      </c>
      <c r="F127" s="69">
        <f>D124+D125-D129</f>
        <v>26.823250000000002</v>
      </c>
      <c r="G127" s="24"/>
      <c r="H127" s="27"/>
      <c r="I127" s="27"/>
      <c r="J127" s="27"/>
      <c r="K127" s="27"/>
      <c r="L127" s="27"/>
      <c r="M127" s="27"/>
      <c r="N127" s="27"/>
      <c r="O127" s="27"/>
      <c r="P127" s="27"/>
      <c r="Q127" s="27"/>
      <c r="R127" s="27"/>
    </row>
    <row r="128" spans="1:18" ht="0.75" customHeight="1" x14ac:dyDescent="0.3">
      <c r="A128" s="24"/>
      <c r="B128" s="24"/>
      <c r="C128" s="24"/>
      <c r="D128" s="24"/>
      <c r="E128" s="24"/>
      <c r="F128" s="24"/>
      <c r="G128" s="24"/>
      <c r="H128" s="27"/>
      <c r="I128" s="27"/>
      <c r="J128" s="27"/>
      <c r="K128" s="27"/>
      <c r="L128" s="27"/>
      <c r="M128" s="27"/>
      <c r="N128" s="27"/>
      <c r="O128" s="27"/>
      <c r="P128" s="27"/>
      <c r="Q128" s="27"/>
      <c r="R128" s="27"/>
    </row>
    <row r="129" spans="1:18" ht="36" customHeight="1" x14ac:dyDescent="0.3">
      <c r="A129" s="550" t="s">
        <v>99</v>
      </c>
      <c r="B129" s="550"/>
      <c r="C129" s="46">
        <v>1.7000000000000001E-2</v>
      </c>
      <c r="D129" s="47">
        <f>(C66+C70)*C129</f>
        <v>33.02675</v>
      </c>
      <c r="E129" s="24"/>
      <c r="F129" s="24"/>
      <c r="G129" s="24"/>
      <c r="H129" s="27"/>
      <c r="I129" s="27"/>
      <c r="J129" s="27"/>
      <c r="K129" s="27"/>
      <c r="L129" s="27"/>
      <c r="M129" s="27"/>
      <c r="N129" s="27"/>
      <c r="O129" s="27"/>
      <c r="P129" s="27"/>
      <c r="Q129" s="27"/>
      <c r="R129" s="27"/>
    </row>
    <row r="130" spans="1:18" ht="15.6" x14ac:dyDescent="0.3">
      <c r="A130" s="24"/>
      <c r="B130" s="24"/>
      <c r="C130" s="24"/>
      <c r="D130" s="24"/>
      <c r="E130" s="24"/>
      <c r="F130" s="24"/>
      <c r="G130" s="24"/>
      <c r="H130" s="27"/>
      <c r="I130" s="27"/>
      <c r="J130" s="27"/>
      <c r="K130" s="27"/>
      <c r="L130" s="27"/>
      <c r="M130" s="27"/>
      <c r="N130" s="27"/>
      <c r="O130" s="27"/>
      <c r="P130" s="27"/>
      <c r="Q130" s="27"/>
      <c r="R130" s="27"/>
    </row>
    <row r="131" spans="1:18" ht="15.6" x14ac:dyDescent="0.3">
      <c r="A131" s="27"/>
      <c r="B131" s="27"/>
      <c r="C131" s="27"/>
      <c r="D131" s="27"/>
      <c r="E131" s="27"/>
      <c r="F131" s="27"/>
      <c r="G131" s="27"/>
      <c r="H131" s="27"/>
      <c r="I131" s="27"/>
      <c r="J131" s="27"/>
      <c r="K131" s="27"/>
      <c r="L131" s="27"/>
      <c r="M131" s="27"/>
      <c r="N131" s="27"/>
      <c r="O131" s="27"/>
      <c r="P131" s="27"/>
      <c r="Q131" s="27"/>
      <c r="R131" s="27"/>
    </row>
    <row r="132" spans="1:18" ht="15.6" x14ac:dyDescent="0.3">
      <c r="A132" s="27"/>
      <c r="B132" s="27"/>
      <c r="C132" s="27"/>
      <c r="D132" s="27"/>
      <c r="E132" s="27"/>
      <c r="F132" s="27"/>
      <c r="G132" s="27"/>
      <c r="H132" s="27"/>
      <c r="I132" s="27"/>
      <c r="J132" s="27"/>
      <c r="K132" s="27"/>
      <c r="L132" s="27"/>
      <c r="M132" s="27"/>
      <c r="N132" s="27"/>
      <c r="O132" s="27"/>
      <c r="P132" s="27"/>
      <c r="Q132" s="27"/>
      <c r="R132" s="27"/>
    </row>
    <row r="133" spans="1:18" ht="15.6" x14ac:dyDescent="0.3">
      <c r="A133" s="27"/>
      <c r="B133" s="27"/>
      <c r="C133" s="27"/>
      <c r="D133" s="27"/>
      <c r="E133" s="27"/>
      <c r="F133" s="27"/>
      <c r="G133" s="27"/>
      <c r="H133" s="27"/>
      <c r="I133" s="27"/>
      <c r="J133" s="27"/>
      <c r="K133" s="27"/>
      <c r="L133" s="27"/>
      <c r="M133" s="27"/>
      <c r="N133" s="27"/>
      <c r="O133" s="27"/>
      <c r="P133" s="27"/>
      <c r="Q133" s="27"/>
      <c r="R133" s="27"/>
    </row>
    <row r="134" spans="1:18" ht="15.6" x14ac:dyDescent="0.3">
      <c r="A134" s="27"/>
      <c r="B134" s="27"/>
      <c r="C134" s="27"/>
      <c r="D134" s="27"/>
      <c r="E134" s="27"/>
      <c r="F134" s="27"/>
      <c r="G134" s="27"/>
      <c r="H134" s="27"/>
      <c r="I134" s="27"/>
      <c r="J134" s="27"/>
      <c r="K134" s="27"/>
      <c r="L134" s="27"/>
      <c r="M134" s="27"/>
      <c r="N134" s="27"/>
      <c r="O134" s="27"/>
      <c r="P134" s="27"/>
      <c r="Q134" s="27"/>
      <c r="R134" s="27"/>
    </row>
    <row r="135" spans="1:18" ht="15.6" x14ac:dyDescent="0.3">
      <c r="A135" s="27"/>
      <c r="B135" s="27"/>
      <c r="C135" s="27"/>
      <c r="D135" s="27"/>
      <c r="E135" s="27"/>
      <c r="F135" s="27"/>
      <c r="G135" s="27"/>
      <c r="H135" s="27"/>
      <c r="I135" s="27"/>
      <c r="J135" s="27"/>
      <c r="K135" s="27"/>
      <c r="L135" s="27"/>
      <c r="M135" s="27"/>
      <c r="N135" s="27"/>
      <c r="O135" s="27"/>
      <c r="P135" s="27"/>
      <c r="Q135" s="27"/>
      <c r="R135" s="27"/>
    </row>
    <row r="136" spans="1:18" ht="15.6" x14ac:dyDescent="0.3">
      <c r="A136" s="27"/>
      <c r="B136" s="27"/>
      <c r="C136" s="27"/>
      <c r="D136" s="27"/>
      <c r="E136" s="27"/>
      <c r="F136" s="27"/>
      <c r="G136" s="27"/>
      <c r="H136" s="27"/>
      <c r="I136" s="27"/>
      <c r="J136" s="27"/>
      <c r="K136" s="27"/>
      <c r="L136" s="27"/>
      <c r="M136" s="27"/>
      <c r="N136" s="27"/>
      <c r="O136" s="27"/>
      <c r="P136" s="27"/>
      <c r="Q136" s="27"/>
      <c r="R136" s="27"/>
    </row>
    <row r="137" spans="1:18" ht="15.6" x14ac:dyDescent="0.3">
      <c r="A137" s="27"/>
      <c r="B137" s="27"/>
      <c r="C137" s="27"/>
      <c r="D137" s="27"/>
      <c r="E137" s="27"/>
      <c r="F137" s="27"/>
      <c r="G137" s="27"/>
      <c r="H137" s="27"/>
      <c r="I137" s="27"/>
      <c r="J137" s="27"/>
      <c r="K137" s="27"/>
      <c r="L137" s="27"/>
      <c r="M137" s="27"/>
      <c r="N137" s="27"/>
      <c r="O137" s="27"/>
      <c r="P137" s="27"/>
      <c r="Q137" s="27"/>
      <c r="R137" s="27"/>
    </row>
    <row r="138" spans="1:18" ht="15.6" x14ac:dyDescent="0.3">
      <c r="A138" s="27"/>
      <c r="B138" s="27"/>
      <c r="C138" s="27"/>
      <c r="D138" s="27"/>
      <c r="E138" s="27"/>
      <c r="F138" s="27"/>
      <c r="G138" s="27"/>
      <c r="H138" s="27"/>
      <c r="I138" s="27"/>
      <c r="J138" s="27"/>
      <c r="K138" s="27"/>
      <c r="L138" s="27"/>
      <c r="M138" s="27"/>
      <c r="N138" s="27"/>
      <c r="O138" s="27"/>
      <c r="P138" s="27"/>
      <c r="Q138" s="27"/>
      <c r="R138" s="27"/>
    </row>
    <row r="139" spans="1:18" ht="15.6" x14ac:dyDescent="0.3">
      <c r="A139" s="27"/>
      <c r="B139" s="27"/>
      <c r="C139" s="27"/>
      <c r="D139" s="27"/>
      <c r="E139" s="27"/>
      <c r="F139" s="27"/>
      <c r="G139" s="27"/>
      <c r="H139" s="27"/>
      <c r="I139" s="27"/>
      <c r="J139" s="27"/>
      <c r="K139" s="27"/>
      <c r="L139" s="27"/>
      <c r="M139" s="27"/>
      <c r="N139" s="27"/>
      <c r="O139" s="27"/>
      <c r="P139" s="27"/>
      <c r="Q139" s="27"/>
      <c r="R139" s="27"/>
    </row>
    <row r="140" spans="1:18" ht="15.6" x14ac:dyDescent="0.3">
      <c r="A140" s="27"/>
      <c r="B140" s="27"/>
      <c r="C140" s="27"/>
      <c r="D140" s="27"/>
      <c r="E140" s="27"/>
      <c r="F140" s="27"/>
      <c r="G140" s="27"/>
      <c r="H140" s="27"/>
      <c r="I140" s="27"/>
      <c r="J140" s="27"/>
      <c r="K140" s="27"/>
      <c r="L140" s="27"/>
      <c r="M140" s="27"/>
      <c r="N140" s="27"/>
      <c r="O140" s="27"/>
      <c r="P140" s="27"/>
      <c r="Q140" s="27"/>
      <c r="R140" s="27"/>
    </row>
    <row r="141" spans="1:18" ht="15.6" x14ac:dyDescent="0.3">
      <c r="A141" s="27"/>
      <c r="B141" s="27"/>
      <c r="C141" s="27"/>
      <c r="D141" s="27"/>
      <c r="E141" s="27"/>
      <c r="F141" s="27"/>
      <c r="G141" s="27"/>
      <c r="H141" s="27"/>
      <c r="I141" s="27"/>
      <c r="J141" s="27"/>
      <c r="K141" s="27"/>
      <c r="L141" s="27"/>
      <c r="M141" s="27"/>
      <c r="N141" s="27"/>
      <c r="O141" s="27"/>
      <c r="P141" s="27"/>
      <c r="Q141" s="27"/>
      <c r="R141" s="27"/>
    </row>
    <row r="142" spans="1:18" ht="15.6" x14ac:dyDescent="0.3">
      <c r="A142" s="27"/>
      <c r="B142" s="27"/>
      <c r="C142" s="27"/>
      <c r="D142" s="27"/>
      <c r="E142" s="27"/>
      <c r="F142" s="27"/>
      <c r="G142" s="27"/>
      <c r="H142" s="27"/>
      <c r="I142" s="27"/>
      <c r="J142" s="27"/>
      <c r="K142" s="27"/>
      <c r="L142" s="27"/>
      <c r="M142" s="27"/>
      <c r="N142" s="27"/>
      <c r="O142" s="27"/>
      <c r="P142" s="27"/>
      <c r="Q142" s="27"/>
      <c r="R142" s="27"/>
    </row>
    <row r="144" spans="1:18" ht="28.5" customHeight="1" x14ac:dyDescent="0.3">
      <c r="A144" s="551"/>
      <c r="B144" s="551"/>
      <c r="C144" s="551"/>
      <c r="D144" s="551"/>
      <c r="E144" s="551"/>
      <c r="F144" s="551"/>
      <c r="G144" s="551"/>
      <c r="H144" s="551"/>
      <c r="I144" s="551"/>
      <c r="J144" s="551"/>
    </row>
    <row r="201" customFormat="1" ht="15" customHeight="1" x14ac:dyDescent="0.3"/>
    <row r="210" customFormat="1" ht="18.75" customHeight="1" x14ac:dyDescent="0.3"/>
    <row r="211" customFormat="1" ht="18.75" customHeight="1" x14ac:dyDescent="0.3"/>
    <row r="212" customFormat="1" ht="18.75" customHeight="1" x14ac:dyDescent="0.3"/>
    <row r="213" customFormat="1" ht="18.75" customHeight="1" x14ac:dyDescent="0.3"/>
    <row r="214" customFormat="1" ht="18.75" customHeight="1" x14ac:dyDescent="0.3"/>
    <row r="215" customFormat="1" ht="18.75" customHeight="1" x14ac:dyDescent="0.3"/>
    <row r="216" customFormat="1" ht="18.75" customHeight="1" x14ac:dyDescent="0.3"/>
    <row r="217" customFormat="1" ht="18.75" customHeight="1" x14ac:dyDescent="0.3"/>
  </sheetData>
  <mergeCells count="137">
    <mergeCell ref="A77:B77"/>
    <mergeCell ref="B5:D5"/>
    <mergeCell ref="G8:J8"/>
    <mergeCell ref="B6:D6"/>
    <mergeCell ref="G6:J6"/>
    <mergeCell ref="B7:D7"/>
    <mergeCell ref="G7:J7"/>
    <mergeCell ref="A1:J1"/>
    <mergeCell ref="A2:D2"/>
    <mergeCell ref="F2:J2"/>
    <mergeCell ref="B3:D3"/>
    <mergeCell ref="G3:J3"/>
    <mergeCell ref="B4:D4"/>
    <mergeCell ref="G4:J4"/>
    <mergeCell ref="G5:J5"/>
    <mergeCell ref="A13:F13"/>
    <mergeCell ref="A14:F14"/>
    <mergeCell ref="A15:F15"/>
    <mergeCell ref="A16:F16"/>
    <mergeCell ref="A17:F17"/>
    <mergeCell ref="B8:D8"/>
    <mergeCell ref="C9:D9"/>
    <mergeCell ref="F9:G9"/>
    <mergeCell ref="F10:G10"/>
    <mergeCell ref="B11:D11"/>
    <mergeCell ref="A12:J12"/>
    <mergeCell ref="A24:F24"/>
    <mergeCell ref="A25:F25"/>
    <mergeCell ref="A26:F26"/>
    <mergeCell ref="A27:F27"/>
    <mergeCell ref="A28:F28"/>
    <mergeCell ref="A29:F29"/>
    <mergeCell ref="A18:F18"/>
    <mergeCell ref="A19:F19"/>
    <mergeCell ref="A20:F20"/>
    <mergeCell ref="A21:F21"/>
    <mergeCell ref="A23:F23"/>
    <mergeCell ref="A22:F22"/>
    <mergeCell ref="A36:B36"/>
    <mergeCell ref="O36:P36"/>
    <mergeCell ref="A37:B37"/>
    <mergeCell ref="O37:P37"/>
    <mergeCell ref="A38:B38"/>
    <mergeCell ref="O38:P38"/>
    <mergeCell ref="A30:F30"/>
    <mergeCell ref="A31:F31"/>
    <mergeCell ref="A33:B33"/>
    <mergeCell ref="D33:I33"/>
    <mergeCell ref="A34:B34"/>
    <mergeCell ref="A35:B35"/>
    <mergeCell ref="A32:F32"/>
    <mergeCell ref="A42:B42"/>
    <mergeCell ref="O44:P44"/>
    <mergeCell ref="A45:B45"/>
    <mergeCell ref="O45:P45"/>
    <mergeCell ref="A46:B46"/>
    <mergeCell ref="O46:P46"/>
    <mergeCell ref="A39:B39"/>
    <mergeCell ref="O39:P39"/>
    <mergeCell ref="A40:B40"/>
    <mergeCell ref="O40:P40"/>
    <mergeCell ref="A41:B41"/>
    <mergeCell ref="O41:P41"/>
    <mergeCell ref="A43:B43"/>
    <mergeCell ref="A44:B44"/>
    <mergeCell ref="A51:B51"/>
    <mergeCell ref="M51:O51"/>
    <mergeCell ref="A52:B52"/>
    <mergeCell ref="M52:N52"/>
    <mergeCell ref="A53:B53"/>
    <mergeCell ref="A54:B54"/>
    <mergeCell ref="A47:B47"/>
    <mergeCell ref="L47:L48"/>
    <mergeCell ref="A48:B48"/>
    <mergeCell ref="A49:B49"/>
    <mergeCell ref="A50:B50"/>
    <mergeCell ref="A60:B60"/>
    <mergeCell ref="M60:N60"/>
    <mergeCell ref="A61:B61"/>
    <mergeCell ref="A63:B63"/>
    <mergeCell ref="A64:B64"/>
    <mergeCell ref="M64:N64"/>
    <mergeCell ref="A55:B55"/>
    <mergeCell ref="A56:B56"/>
    <mergeCell ref="A57:B57"/>
    <mergeCell ref="M57:N57"/>
    <mergeCell ref="A58:B58"/>
    <mergeCell ref="A59:B59"/>
    <mergeCell ref="A62:B62"/>
    <mergeCell ref="A71:B71"/>
    <mergeCell ref="A72:B72"/>
    <mergeCell ref="A73:B73"/>
    <mergeCell ref="A74:B74"/>
    <mergeCell ref="A75:B75"/>
    <mergeCell ref="A76:B76"/>
    <mergeCell ref="A65:B65"/>
    <mergeCell ref="A66:B66"/>
    <mergeCell ref="A67:B67"/>
    <mergeCell ref="A68:B68"/>
    <mergeCell ref="A69:B69"/>
    <mergeCell ref="A70:B70"/>
    <mergeCell ref="A78:I78"/>
    <mergeCell ref="J78:L78"/>
    <mergeCell ref="A79:I81"/>
    <mergeCell ref="J79:L81"/>
    <mergeCell ref="A82:C83"/>
    <mergeCell ref="D82:E82"/>
    <mergeCell ref="F82:G82"/>
    <mergeCell ref="D83:E83"/>
    <mergeCell ref="F83:G83"/>
    <mergeCell ref="A109:B109"/>
    <mergeCell ref="A110:B110"/>
    <mergeCell ref="A93:E93"/>
    <mergeCell ref="A87:I87"/>
    <mergeCell ref="J87:L87"/>
    <mergeCell ref="A84:I84"/>
    <mergeCell ref="J84:L84"/>
    <mergeCell ref="A85:I85"/>
    <mergeCell ref="J85:L85"/>
    <mergeCell ref="A86:I86"/>
    <mergeCell ref="J86:L86"/>
    <mergeCell ref="D88:E88"/>
    <mergeCell ref="F88:G88"/>
    <mergeCell ref="A129:B129"/>
    <mergeCell ref="A144:J144"/>
    <mergeCell ref="A117:B117"/>
    <mergeCell ref="A118:B118"/>
    <mergeCell ref="A119:B119"/>
    <mergeCell ref="A124:B124"/>
    <mergeCell ref="A125:B125"/>
    <mergeCell ref="A127:D127"/>
    <mergeCell ref="A111:B111"/>
    <mergeCell ref="A112:B112"/>
    <mergeCell ref="A113:B113"/>
    <mergeCell ref="A114:B114"/>
    <mergeCell ref="A115:B115"/>
    <mergeCell ref="A116:B116"/>
  </mergeCells>
  <dataValidations count="2">
    <dataValidation type="list" errorStyle="warning" operator="equal" showInputMessage="1" showErrorMessage="1" errorTitle="erreur" error="utiliser la liste déroulante" promptTitle="attention" prompt="Si cette cellule est rouge c'est que vous n'avez pas choisi le statut du salarié dans la liste déroulante._x000a_C= cadre_x000a_NC= non cadre_x000a_D= dirigeant" sqref="I9" xr:uid="{9777CA24-F5B5-4C87-B4F7-60D984F29CC0}">
      <formula1>$M$3:$M$5</formula1>
      <formula2>0</formula2>
    </dataValidation>
    <dataValidation operator="equal" allowBlank="1" showErrorMessage="1" errorTitle="Smic minimum" error="attention tatal brut au minimum égal au smic pour 151,67 h" sqref="K34 J33" xr:uid="{00000000-0002-0000-0500-000001000000}">
      <formula1>0</formula1>
      <formula2>0</formula2>
    </dataValidation>
  </dataValidations>
  <printOptions horizontalCentered="1" verticalCentered="1"/>
  <pageMargins left="0.11811023622047245" right="0.11811023622047245" top="0.59055118110236227" bottom="0.35433070866141736" header="0.31496062992125984" footer="0.31496062992125984"/>
  <pageSetup paperSize="9" scale="75" orientation="portrait" horizontalDpi="300" verticalDpi="30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vt:i4>
      </vt:variant>
    </vt:vector>
  </HeadingPairs>
  <TitlesOfParts>
    <vt:vector size="15" baseType="lpstr">
      <vt:lpstr>CONTEXTE </vt:lpstr>
      <vt:lpstr>EXPL FEUILLE TAUX NEUTRE</vt:lpstr>
      <vt:lpstr>TAUX NEUTRE JANVIER  </vt:lpstr>
      <vt:lpstr>TAUX NEUTRE MAI </vt:lpstr>
      <vt:lpstr>TAUX NEUTRE 2025</vt:lpstr>
      <vt:lpstr>MASQUE DE SAISIE </vt:lpstr>
      <vt:lpstr>BP FORMAT JUILLET 2023</vt:lpstr>
      <vt:lpstr>FEUILLE DE CONTROLE </vt:lpstr>
      <vt:lpstr>BP VERSION JANVIER 2023</vt:lpstr>
      <vt:lpstr>HEURES SUPPLEMENTAIRES </vt:lpstr>
      <vt:lpstr>TABLE DES TAUX 2025 </vt:lpstr>
      <vt:lpstr>Red Gen de Cot BP Version Janv </vt:lpstr>
      <vt:lpstr>Red Gen de CotBP Format Juillet</vt:lpstr>
      <vt:lpstr>TRAME DU BP </vt:lpstr>
      <vt:lpstr>TAUX2023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Bienvenue</dc:creator>
  <cp:lastModifiedBy>jacques LE CHEVANTON</cp:lastModifiedBy>
  <cp:lastPrinted>2025-05-27T09:26:42Z</cp:lastPrinted>
  <dcterms:created xsi:type="dcterms:W3CDTF">2019-09-02T13:46:41Z</dcterms:created>
  <dcterms:modified xsi:type="dcterms:W3CDTF">2025-05-27T09:35:16Z</dcterms:modified>
</cp:coreProperties>
</file>